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ón\Documents\Backups\Gestion\Ley_Transparencia\2018\"/>
    </mc:Choice>
  </mc:AlternateContent>
  <xr:revisionPtr revIDLastSave="0" documentId="13_ncr:1_{D8131DA6-9ED1-461F-AC1D-1F6E6C3D619A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PUBLICO COMPLETO" sheetId="1" r:id="rId1"/>
    <sheet name="PRIVADO COMPLETO" sheetId="2" r:id="rId2"/>
    <sheet name="CTAS MAYORES PUBLICO" sheetId="6" r:id="rId3"/>
    <sheet name="CTAS MAYORES PRIVADO PRIVADO" sheetId="7" r:id="rId4"/>
    <sheet name="RESUMIDO PUBLICO" sheetId="10" r:id="rId5"/>
    <sheet name="RESUMIDO PRIVADO" sheetId="12" r:id="rId6"/>
    <sheet name="RESUMIDO PUBLICO COMPARADO" sheetId="14" r:id="rId7"/>
    <sheet name="RESUMIDO PRIVADO COMPARADO" sheetId="15" r:id="rId8"/>
    <sheet name="RESUMEN GENERAL" sheetId="16" r:id="rId9"/>
    <sheet name="CAMBIO" sheetId="29" r:id="rId10"/>
    <sheet name="FLUJO PY 2017" sheetId="23" r:id="rId11"/>
    <sheet name="EJEC PY 2017" sheetId="24" r:id="rId12"/>
    <sheet name="FLJO 2018" sheetId="18" r:id="rId13"/>
    <sheet name="CUENTAS" sheetId="20" r:id="rId14"/>
    <sheet name="INVERSIONES" sheetId="21" r:id="rId15"/>
    <sheet name="C.INV" sheetId="25" r:id="rId16"/>
    <sheet name="GASTOS 2017" sheetId="26" r:id="rId17"/>
    <sheet name="CAMARAS" sheetId="28" r:id="rId18"/>
  </sheets>
  <externalReferences>
    <externalReference r:id="rId19"/>
    <externalReference r:id="rId20"/>
    <externalReference r:id="rId21"/>
  </externalReferences>
  <definedNames>
    <definedName name="_xlnm.Print_Titles" localSheetId="1">'PRIVADO COMPLETO'!$5:$6</definedName>
    <definedName name="_xlnm.Print_Titles" localSheetId="0">'PUBLICO COMPLETO'!$5:$5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1" l="1"/>
  <c r="H10" i="2" l="1"/>
  <c r="J10" i="2"/>
  <c r="F137" i="1" l="1"/>
  <c r="F135" i="1" s="1"/>
  <c r="D5" i="25" l="1"/>
  <c r="B21" i="20" l="1"/>
  <c r="O432" i="1" l="1"/>
  <c r="O409" i="1"/>
  <c r="O249" i="1"/>
  <c r="O222" i="1"/>
  <c r="O340" i="1"/>
  <c r="O103" i="1"/>
  <c r="C21" i="20" s="1"/>
  <c r="O326" i="1"/>
  <c r="O53" i="1"/>
  <c r="O52" i="1"/>
  <c r="B51" i="1"/>
  <c r="O51" i="1" l="1"/>
  <c r="C225" i="2"/>
  <c r="O552" i="1"/>
  <c r="F555" i="1" s="1"/>
  <c r="F676" i="1" s="1"/>
  <c r="K555" i="1"/>
  <c r="K677" i="1" s="1"/>
  <c r="O551" i="1"/>
  <c r="D554" i="1"/>
  <c r="H554" i="1"/>
  <c r="J554" i="1"/>
  <c r="J673" i="1" s="1"/>
  <c r="O106" i="1"/>
  <c r="K77" i="1"/>
  <c r="O478" i="1"/>
  <c r="C55" i="2"/>
  <c r="D55" i="2"/>
  <c r="E55" i="2"/>
  <c r="F55" i="2"/>
  <c r="G55" i="2"/>
  <c r="H55" i="2"/>
  <c r="I55" i="2"/>
  <c r="J55" i="2"/>
  <c r="K55" i="2"/>
  <c r="L55" i="2"/>
  <c r="M55" i="2"/>
  <c r="N55" i="2"/>
  <c r="C57" i="2"/>
  <c r="D57" i="2"/>
  <c r="E57" i="2"/>
  <c r="F57" i="2"/>
  <c r="G57" i="2"/>
  <c r="H57" i="2"/>
  <c r="I57" i="2"/>
  <c r="J57" i="2"/>
  <c r="K57" i="2"/>
  <c r="L57" i="2"/>
  <c r="M57" i="2"/>
  <c r="N57" i="2"/>
  <c r="C58" i="2"/>
  <c r="D58" i="2"/>
  <c r="E58" i="2"/>
  <c r="F58" i="2"/>
  <c r="G58" i="2"/>
  <c r="H58" i="2"/>
  <c r="I58" i="2"/>
  <c r="J58" i="2"/>
  <c r="K58" i="2"/>
  <c r="L58" i="2"/>
  <c r="M58" i="2"/>
  <c r="N58" i="2"/>
  <c r="C59" i="2"/>
  <c r="D59" i="2"/>
  <c r="E59" i="2"/>
  <c r="F59" i="2"/>
  <c r="G59" i="2"/>
  <c r="H59" i="2"/>
  <c r="I59" i="2"/>
  <c r="J59" i="2"/>
  <c r="K59" i="2"/>
  <c r="L59" i="2"/>
  <c r="M59" i="2"/>
  <c r="N59" i="2"/>
  <c r="C60" i="2"/>
  <c r="D60" i="2"/>
  <c r="E60" i="2"/>
  <c r="F60" i="2"/>
  <c r="G60" i="2"/>
  <c r="H60" i="2"/>
  <c r="I60" i="2"/>
  <c r="J60" i="2"/>
  <c r="K60" i="2"/>
  <c r="L60" i="2"/>
  <c r="M60" i="2"/>
  <c r="N60" i="2"/>
  <c r="C61" i="2"/>
  <c r="D61" i="2"/>
  <c r="E61" i="2"/>
  <c r="F61" i="2"/>
  <c r="G61" i="2"/>
  <c r="H61" i="2"/>
  <c r="I61" i="2"/>
  <c r="J61" i="2"/>
  <c r="K61" i="2"/>
  <c r="L61" i="2"/>
  <c r="M61" i="2"/>
  <c r="N61" i="2"/>
  <c r="C66" i="2"/>
  <c r="O66" i="2" s="1"/>
  <c r="C68" i="2"/>
  <c r="D68" i="2"/>
  <c r="E68" i="2"/>
  <c r="F68" i="2"/>
  <c r="G68" i="2"/>
  <c r="H68" i="2"/>
  <c r="I68" i="2"/>
  <c r="J68" i="2"/>
  <c r="K68" i="2"/>
  <c r="L68" i="2"/>
  <c r="M68" i="2"/>
  <c r="N68" i="2"/>
  <c r="C69" i="2"/>
  <c r="D69" i="2"/>
  <c r="E69" i="2"/>
  <c r="F69" i="2"/>
  <c r="G69" i="2"/>
  <c r="H69" i="2"/>
  <c r="I69" i="2"/>
  <c r="J69" i="2"/>
  <c r="K69" i="2"/>
  <c r="L69" i="2"/>
  <c r="M69" i="2"/>
  <c r="N69" i="2"/>
  <c r="C70" i="2"/>
  <c r="D70" i="2"/>
  <c r="E70" i="2"/>
  <c r="F70" i="2"/>
  <c r="G70" i="2"/>
  <c r="H70" i="2"/>
  <c r="I70" i="2"/>
  <c r="J70" i="2"/>
  <c r="K70" i="2"/>
  <c r="L70" i="2"/>
  <c r="M70" i="2"/>
  <c r="N70" i="2"/>
  <c r="C71" i="2"/>
  <c r="D71" i="2"/>
  <c r="E71" i="2"/>
  <c r="F71" i="2"/>
  <c r="G71" i="2"/>
  <c r="H71" i="2"/>
  <c r="I71" i="2"/>
  <c r="J71" i="2"/>
  <c r="K71" i="2"/>
  <c r="L71" i="2"/>
  <c r="M71" i="2"/>
  <c r="N71" i="2"/>
  <c r="C72" i="2"/>
  <c r="D72" i="2"/>
  <c r="E72" i="2"/>
  <c r="F72" i="2"/>
  <c r="G72" i="2"/>
  <c r="H72" i="2"/>
  <c r="I72" i="2"/>
  <c r="J72" i="2"/>
  <c r="K72" i="2"/>
  <c r="L72" i="2"/>
  <c r="M72" i="2"/>
  <c r="N72" i="2"/>
  <c r="C73" i="2"/>
  <c r="D73" i="2"/>
  <c r="E73" i="2"/>
  <c r="F73" i="2"/>
  <c r="G73" i="2"/>
  <c r="H73" i="2"/>
  <c r="I73" i="2"/>
  <c r="J73" i="2"/>
  <c r="K73" i="2"/>
  <c r="L73" i="2"/>
  <c r="M73" i="2"/>
  <c r="N73" i="2"/>
  <c r="O56" i="2"/>
  <c r="B35" i="7" s="1"/>
  <c r="O62" i="2"/>
  <c r="C233" i="20" s="1"/>
  <c r="O63" i="2"/>
  <c r="C234" i="20" s="1"/>
  <c r="O64" i="2"/>
  <c r="O65" i="2"/>
  <c r="O67" i="2"/>
  <c r="O74" i="2"/>
  <c r="O195" i="2"/>
  <c r="O197" i="2"/>
  <c r="O225" i="2"/>
  <c r="C67" i="1"/>
  <c r="D67" i="1"/>
  <c r="E67" i="1"/>
  <c r="F67" i="1"/>
  <c r="G67" i="1"/>
  <c r="H67" i="1"/>
  <c r="I67" i="1"/>
  <c r="J67" i="1"/>
  <c r="K67" i="1"/>
  <c r="L67" i="1"/>
  <c r="M67" i="1"/>
  <c r="N67" i="1"/>
  <c r="C68" i="1"/>
  <c r="D68" i="1"/>
  <c r="E68" i="1"/>
  <c r="F68" i="1"/>
  <c r="G68" i="1"/>
  <c r="H68" i="1"/>
  <c r="I68" i="1"/>
  <c r="J68" i="1"/>
  <c r="K68" i="1"/>
  <c r="L68" i="1"/>
  <c r="M68" i="1"/>
  <c r="N68" i="1"/>
  <c r="C69" i="1"/>
  <c r="D69" i="1"/>
  <c r="E69" i="1"/>
  <c r="F69" i="1"/>
  <c r="G69" i="1"/>
  <c r="H69" i="1"/>
  <c r="I69" i="1"/>
  <c r="J69" i="1"/>
  <c r="K69" i="1"/>
  <c r="L69" i="1"/>
  <c r="M69" i="1"/>
  <c r="N69" i="1"/>
  <c r="C70" i="1"/>
  <c r="D70" i="1"/>
  <c r="E70" i="1"/>
  <c r="F70" i="1"/>
  <c r="G70" i="1"/>
  <c r="H70" i="1"/>
  <c r="I70" i="1"/>
  <c r="J70" i="1"/>
  <c r="K70" i="1"/>
  <c r="L70" i="1"/>
  <c r="M70" i="1"/>
  <c r="N70" i="1"/>
  <c r="C71" i="1"/>
  <c r="D71" i="1"/>
  <c r="E71" i="1"/>
  <c r="F71" i="1"/>
  <c r="G71" i="1"/>
  <c r="H71" i="1"/>
  <c r="I71" i="1"/>
  <c r="J71" i="1"/>
  <c r="K71" i="1"/>
  <c r="L71" i="1"/>
  <c r="M71" i="1"/>
  <c r="N71" i="1"/>
  <c r="C72" i="1"/>
  <c r="D72" i="1"/>
  <c r="E72" i="1"/>
  <c r="F72" i="1"/>
  <c r="G72" i="1"/>
  <c r="H72" i="1"/>
  <c r="I72" i="1"/>
  <c r="J72" i="1"/>
  <c r="K72" i="1"/>
  <c r="L72" i="1"/>
  <c r="M72" i="1"/>
  <c r="N72" i="1"/>
  <c r="C73" i="1"/>
  <c r="D73" i="1"/>
  <c r="E73" i="1"/>
  <c r="F73" i="1"/>
  <c r="G73" i="1"/>
  <c r="C74" i="1"/>
  <c r="D74" i="1"/>
  <c r="E74" i="1"/>
  <c r="F74" i="1"/>
  <c r="G74" i="1"/>
  <c r="H74" i="1"/>
  <c r="I74" i="1"/>
  <c r="J74" i="1"/>
  <c r="K74" i="1"/>
  <c r="L74" i="1"/>
  <c r="M74" i="1"/>
  <c r="C77" i="1"/>
  <c r="D77" i="1"/>
  <c r="E77" i="1"/>
  <c r="F77" i="1"/>
  <c r="G77" i="1"/>
  <c r="H77" i="1"/>
  <c r="I77" i="1"/>
  <c r="J77" i="1"/>
  <c r="L77" i="1"/>
  <c r="M77" i="1"/>
  <c r="N77" i="1"/>
  <c r="C78" i="1"/>
  <c r="D78" i="1"/>
  <c r="E78" i="1"/>
  <c r="F78" i="1"/>
  <c r="G78" i="1"/>
  <c r="H78" i="1"/>
  <c r="I78" i="1"/>
  <c r="J78" i="1"/>
  <c r="K78" i="1"/>
  <c r="L78" i="1"/>
  <c r="M78" i="1"/>
  <c r="N78" i="1"/>
  <c r="C79" i="1"/>
  <c r="D79" i="1"/>
  <c r="E79" i="1"/>
  <c r="F79" i="1"/>
  <c r="G79" i="1"/>
  <c r="H79" i="1"/>
  <c r="I79" i="1"/>
  <c r="J79" i="1"/>
  <c r="K79" i="1"/>
  <c r="L79" i="1"/>
  <c r="M79" i="1"/>
  <c r="N79" i="1"/>
  <c r="C80" i="1"/>
  <c r="D80" i="1"/>
  <c r="E80" i="1"/>
  <c r="F80" i="1"/>
  <c r="G80" i="1"/>
  <c r="H80" i="1"/>
  <c r="I80" i="1"/>
  <c r="J80" i="1"/>
  <c r="K80" i="1"/>
  <c r="L80" i="1"/>
  <c r="M80" i="1"/>
  <c r="N80" i="1"/>
  <c r="C81" i="1"/>
  <c r="D81" i="1"/>
  <c r="E81" i="1"/>
  <c r="F81" i="1"/>
  <c r="G81" i="1"/>
  <c r="H81" i="1"/>
  <c r="I81" i="1"/>
  <c r="J81" i="1"/>
  <c r="K81" i="1"/>
  <c r="L81" i="1"/>
  <c r="M81" i="1"/>
  <c r="N81" i="1"/>
  <c r="C82" i="1"/>
  <c r="D82" i="1"/>
  <c r="E82" i="1"/>
  <c r="F82" i="1"/>
  <c r="G82" i="1"/>
  <c r="H82" i="1"/>
  <c r="I82" i="1"/>
  <c r="J82" i="1"/>
  <c r="K82" i="1"/>
  <c r="L82" i="1"/>
  <c r="M82" i="1"/>
  <c r="N82" i="1"/>
  <c r="O75" i="1"/>
  <c r="C224" i="20" s="1"/>
  <c r="O89" i="1"/>
  <c r="O91" i="1"/>
  <c r="C10" i="20" s="1"/>
  <c r="O92" i="1"/>
  <c r="C11" i="20" s="1"/>
  <c r="O93" i="1"/>
  <c r="C12" i="20" s="1"/>
  <c r="O94" i="1"/>
  <c r="O95" i="1"/>
  <c r="P95" i="1" s="1"/>
  <c r="O96" i="1"/>
  <c r="O97" i="1"/>
  <c r="O98" i="1"/>
  <c r="O102" i="1"/>
  <c r="O104" i="1"/>
  <c r="O105" i="1"/>
  <c r="C23" i="20" s="1"/>
  <c r="O119" i="1"/>
  <c r="C491" i="1"/>
  <c r="D491" i="1"/>
  <c r="I491" i="1"/>
  <c r="J491" i="1"/>
  <c r="L491" i="1"/>
  <c r="M491" i="1"/>
  <c r="O479" i="1"/>
  <c r="Q479" i="1" s="1"/>
  <c r="J492" i="1"/>
  <c r="N492" i="1"/>
  <c r="O480" i="1"/>
  <c r="H493" i="1"/>
  <c r="J493" i="1"/>
  <c r="O481" i="1"/>
  <c r="Q481" i="1" s="1"/>
  <c r="O482" i="1"/>
  <c r="Q482" i="1" s="1"/>
  <c r="O483" i="1"/>
  <c r="Q483" i="1" s="1"/>
  <c r="E496" i="1"/>
  <c r="E25" i="1" s="1"/>
  <c r="H496" i="1"/>
  <c r="I496" i="1"/>
  <c r="K496" i="1"/>
  <c r="K25" i="1" s="1"/>
  <c r="O484" i="1"/>
  <c r="Q484" i="1" s="1"/>
  <c r="D497" i="1"/>
  <c r="E497" i="1"/>
  <c r="H497" i="1"/>
  <c r="I497" i="1"/>
  <c r="L497" i="1"/>
  <c r="M497" i="1"/>
  <c r="O486" i="1"/>
  <c r="C499" i="1" s="1"/>
  <c r="F499" i="1"/>
  <c r="H499" i="1"/>
  <c r="J499" i="1"/>
  <c r="L499" i="1"/>
  <c r="N499" i="1"/>
  <c r="O487" i="1"/>
  <c r="D500" i="1" s="1"/>
  <c r="N500" i="1"/>
  <c r="O508" i="1"/>
  <c r="H514" i="1"/>
  <c r="J514" i="1"/>
  <c r="O509" i="1"/>
  <c r="Q509" i="1" s="1"/>
  <c r="D515" i="1"/>
  <c r="E515" i="1"/>
  <c r="F515" i="1"/>
  <c r="G515" i="1"/>
  <c r="H515" i="1"/>
  <c r="K515" i="1"/>
  <c r="L515" i="1"/>
  <c r="M515" i="1"/>
  <c r="N515" i="1"/>
  <c r="O510" i="1"/>
  <c r="M516" i="1"/>
  <c r="N516" i="1"/>
  <c r="O524" i="1"/>
  <c r="D529" i="1"/>
  <c r="O525" i="1"/>
  <c r="C530" i="1" s="1"/>
  <c r="D530" i="1"/>
  <c r="F530" i="1"/>
  <c r="H530" i="1"/>
  <c r="J530" i="1"/>
  <c r="L530" i="1"/>
  <c r="O526" i="1"/>
  <c r="J531" i="1" s="1"/>
  <c r="O534" i="1"/>
  <c r="F539" i="1"/>
  <c r="H539" i="1"/>
  <c r="O535" i="1"/>
  <c r="Q535" i="1" s="1"/>
  <c r="D540" i="1"/>
  <c r="G540" i="1"/>
  <c r="I540" i="1"/>
  <c r="J540" i="1"/>
  <c r="O536" i="1"/>
  <c r="Q536" i="1" s="1"/>
  <c r="F541" i="1"/>
  <c r="I541" i="1"/>
  <c r="J541" i="1"/>
  <c r="M541" i="1"/>
  <c r="N541" i="1"/>
  <c r="O537" i="1"/>
  <c r="C542" i="1" s="1"/>
  <c r="D542" i="1"/>
  <c r="F542" i="1"/>
  <c r="G542" i="1"/>
  <c r="H542" i="1"/>
  <c r="I542" i="1"/>
  <c r="J542" i="1"/>
  <c r="K542" i="1"/>
  <c r="L542" i="1"/>
  <c r="N542" i="1"/>
  <c r="O58" i="1"/>
  <c r="O59" i="1"/>
  <c r="O140" i="1"/>
  <c r="C134" i="20" s="1"/>
  <c r="O141" i="1"/>
  <c r="O142" i="1"/>
  <c r="O148" i="1"/>
  <c r="O149" i="1"/>
  <c r="O150" i="1"/>
  <c r="C144" i="20" s="1"/>
  <c r="O158" i="1"/>
  <c r="O177" i="1"/>
  <c r="B72" i="6" s="1"/>
  <c r="C55" i="20" s="1"/>
  <c r="O205" i="1"/>
  <c r="O206" i="1"/>
  <c r="O210" i="1"/>
  <c r="O214" i="1"/>
  <c r="O215" i="1"/>
  <c r="P215" i="1" s="1"/>
  <c r="O216" i="1"/>
  <c r="O217" i="1"/>
  <c r="O219" i="1"/>
  <c r="P219" i="1" s="1"/>
  <c r="O220" i="1"/>
  <c r="O221" i="1"/>
  <c r="O223" i="1"/>
  <c r="O224" i="1"/>
  <c r="P224" i="1" s="1"/>
  <c r="O225" i="1"/>
  <c r="O226" i="1"/>
  <c r="O229" i="1"/>
  <c r="O230" i="1"/>
  <c r="O231" i="1"/>
  <c r="O233" i="1"/>
  <c r="P233" i="1" s="1"/>
  <c r="O234" i="1"/>
  <c r="O241" i="1"/>
  <c r="P241" i="1" s="1"/>
  <c r="O242" i="1"/>
  <c r="P242" i="1" s="1"/>
  <c r="O245" i="1"/>
  <c r="O246" i="1"/>
  <c r="P246" i="1" s="1"/>
  <c r="O248" i="1"/>
  <c r="O250" i="1"/>
  <c r="O251" i="1"/>
  <c r="O252" i="1"/>
  <c r="O253" i="1"/>
  <c r="O255" i="1"/>
  <c r="P255" i="1" s="1"/>
  <c r="O256" i="1"/>
  <c r="O257" i="1"/>
  <c r="O258" i="1"/>
  <c r="P258" i="1" s="1"/>
  <c r="O259" i="1"/>
  <c r="O270" i="1"/>
  <c r="P270" i="1" s="1"/>
  <c r="O271" i="1"/>
  <c r="O273" i="1"/>
  <c r="O279" i="1"/>
  <c r="C243" i="20" s="1"/>
  <c r="O280" i="1"/>
  <c r="O281" i="1"/>
  <c r="C245" i="20" s="1"/>
  <c r="O286" i="1"/>
  <c r="C250" i="20" s="1"/>
  <c r="O288" i="1"/>
  <c r="P288" i="1" s="1"/>
  <c r="O300" i="1"/>
  <c r="O303" i="1"/>
  <c r="O305" i="1"/>
  <c r="C265" i="20" s="1"/>
  <c r="O306" i="1"/>
  <c r="O308" i="1"/>
  <c r="C268" i="20" s="1"/>
  <c r="O309" i="1"/>
  <c r="C269" i="20" s="1"/>
  <c r="O310" i="1"/>
  <c r="C270" i="20" s="1"/>
  <c r="O317" i="1"/>
  <c r="O318" i="1"/>
  <c r="P318" i="1" s="1"/>
  <c r="O319" i="1"/>
  <c r="O322" i="1"/>
  <c r="P322" i="1" s="1"/>
  <c r="O327" i="1"/>
  <c r="O330" i="1"/>
  <c r="C89" i="20" s="1"/>
  <c r="O335" i="1"/>
  <c r="P335" i="1" s="1"/>
  <c r="O338" i="1"/>
  <c r="O342" i="1"/>
  <c r="O343" i="1"/>
  <c r="C99" i="20" s="1"/>
  <c r="O349" i="1"/>
  <c r="O354" i="1"/>
  <c r="C118" i="20" s="1"/>
  <c r="O357" i="1"/>
  <c r="O359" i="1"/>
  <c r="O360" i="1"/>
  <c r="O361" i="1"/>
  <c r="O364" i="1"/>
  <c r="P364" i="1" s="1"/>
  <c r="O366" i="1"/>
  <c r="B102" i="6" s="1"/>
  <c r="O367" i="1"/>
  <c r="O368" i="1"/>
  <c r="B104" i="6" s="1"/>
  <c r="O376" i="1"/>
  <c r="O395" i="1"/>
  <c r="O407" i="1"/>
  <c r="O414" i="1"/>
  <c r="O419" i="1"/>
  <c r="O422" i="1"/>
  <c r="O425" i="1"/>
  <c r="O426" i="1"/>
  <c r="P426" i="1" s="1"/>
  <c r="O427" i="1"/>
  <c r="O430" i="1"/>
  <c r="O431" i="1"/>
  <c r="P431" i="1" s="1"/>
  <c r="O434" i="1"/>
  <c r="O437" i="1"/>
  <c r="P437" i="1" s="1"/>
  <c r="O438" i="1"/>
  <c r="P438" i="1" s="1"/>
  <c r="O439" i="1"/>
  <c r="P439" i="1" s="1"/>
  <c r="O440" i="1"/>
  <c r="O447" i="1"/>
  <c r="B54" i="2"/>
  <c r="C21" i="15" s="1"/>
  <c r="B112" i="1"/>
  <c r="B113" i="1"/>
  <c r="C42" i="14"/>
  <c r="O468" i="1"/>
  <c r="B17" i="1" s="1"/>
  <c r="B21" i="1"/>
  <c r="B23" i="1"/>
  <c r="B24" i="1"/>
  <c r="R24" i="1" s="1"/>
  <c r="T24" i="1" s="1"/>
  <c r="B25" i="1"/>
  <c r="R25" i="1" s="1"/>
  <c r="B26" i="1"/>
  <c r="B28" i="1"/>
  <c r="B29" i="1"/>
  <c r="B35" i="1"/>
  <c r="B36" i="1"/>
  <c r="R36" i="1" s="1"/>
  <c r="T36" i="1" s="1"/>
  <c r="B42" i="1"/>
  <c r="B47" i="1"/>
  <c r="C19" i="14"/>
  <c r="C20" i="14"/>
  <c r="C21" i="14"/>
  <c r="O686" i="1"/>
  <c r="O687" i="1"/>
  <c r="O689" i="1"/>
  <c r="O688" i="1"/>
  <c r="O685" i="1"/>
  <c r="O684" i="1"/>
  <c r="O683" i="1"/>
  <c r="N485" i="1"/>
  <c r="N465" i="1"/>
  <c r="E467" i="1"/>
  <c r="N466" i="1"/>
  <c r="E466" i="1"/>
  <c r="O466" i="1" s="1"/>
  <c r="E465" i="1"/>
  <c r="B15" i="20"/>
  <c r="C15" i="20"/>
  <c r="I33" i="2"/>
  <c r="E33" i="2"/>
  <c r="B290" i="20"/>
  <c r="B289" i="20"/>
  <c r="B283" i="20"/>
  <c r="B284" i="20"/>
  <c r="B279" i="20"/>
  <c r="B280" i="20"/>
  <c r="B281" i="20"/>
  <c r="B282" i="20"/>
  <c r="B278" i="20"/>
  <c r="H223" i="20"/>
  <c r="H99" i="1"/>
  <c r="O99" i="1" s="1"/>
  <c r="P99" i="1" s="1"/>
  <c r="E9" i="2"/>
  <c r="B142" i="1"/>
  <c r="B16" i="26"/>
  <c r="B271" i="20"/>
  <c r="B272" i="20"/>
  <c r="B270" i="20"/>
  <c r="B263" i="20"/>
  <c r="B264" i="20"/>
  <c r="B265" i="20"/>
  <c r="B266" i="20"/>
  <c r="B267" i="20"/>
  <c r="B268" i="20"/>
  <c r="B269" i="20"/>
  <c r="B245" i="20"/>
  <c r="B246" i="20"/>
  <c r="B247" i="20"/>
  <c r="B248" i="20"/>
  <c r="B249" i="20"/>
  <c r="B250" i="20"/>
  <c r="B251" i="20"/>
  <c r="B252" i="20"/>
  <c r="B178" i="20"/>
  <c r="C187" i="20"/>
  <c r="C188" i="20"/>
  <c r="B182" i="20"/>
  <c r="B183" i="20"/>
  <c r="B184" i="20"/>
  <c r="B185" i="20"/>
  <c r="B186" i="20"/>
  <c r="B187" i="20"/>
  <c r="B188" i="20"/>
  <c r="B189" i="20"/>
  <c r="B190" i="20"/>
  <c r="B155" i="20"/>
  <c r="B156" i="20"/>
  <c r="B157" i="20"/>
  <c r="B154" i="20"/>
  <c r="B59" i="20"/>
  <c r="B6" i="20"/>
  <c r="B7" i="20"/>
  <c r="B8" i="20"/>
  <c r="B9" i="20"/>
  <c r="B10" i="20"/>
  <c r="B11" i="20"/>
  <c r="B12" i="20"/>
  <c r="B13" i="20"/>
  <c r="B14" i="20"/>
  <c r="B16" i="20"/>
  <c r="B17" i="20"/>
  <c r="B18" i="20"/>
  <c r="B19" i="20"/>
  <c r="B20" i="20"/>
  <c r="B22" i="20"/>
  <c r="B23" i="20"/>
  <c r="B24" i="20"/>
  <c r="B47" i="20"/>
  <c r="B46" i="20"/>
  <c r="B45" i="20"/>
  <c r="B44" i="20"/>
  <c r="B37" i="20"/>
  <c r="B38" i="20"/>
  <c r="B39" i="20"/>
  <c r="B41" i="20"/>
  <c r="B42" i="20"/>
  <c r="B43" i="20"/>
  <c r="B16" i="25"/>
  <c r="B4" i="25"/>
  <c r="O14" i="21"/>
  <c r="O15" i="21"/>
  <c r="O16" i="21"/>
  <c r="O17" i="21"/>
  <c r="O18" i="21"/>
  <c r="D20" i="21"/>
  <c r="E20" i="21"/>
  <c r="F20" i="21"/>
  <c r="G20" i="21"/>
  <c r="H20" i="21"/>
  <c r="I20" i="21"/>
  <c r="J20" i="21"/>
  <c r="K20" i="21"/>
  <c r="L20" i="21"/>
  <c r="M20" i="21"/>
  <c r="N20" i="21"/>
  <c r="C20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O30" i="21"/>
  <c r="O28" i="21"/>
  <c r="O27" i="21"/>
  <c r="O31" i="21" s="1"/>
  <c r="O267" i="1"/>
  <c r="B217" i="2"/>
  <c r="B214" i="2" s="1"/>
  <c r="B206" i="2"/>
  <c r="B211" i="2"/>
  <c r="B67" i="1"/>
  <c r="B72" i="1"/>
  <c r="B79" i="1"/>
  <c r="B78" i="1"/>
  <c r="B76" i="1"/>
  <c r="M507" i="1"/>
  <c r="D365" i="1"/>
  <c r="D363" i="1" s="1"/>
  <c r="E365" i="1"/>
  <c r="F365" i="1"/>
  <c r="G365" i="1"/>
  <c r="H365" i="1"/>
  <c r="H363" i="1" s="1"/>
  <c r="I365" i="1"/>
  <c r="I363" i="1" s="1"/>
  <c r="J365" i="1"/>
  <c r="K365" i="1"/>
  <c r="L365" i="1"/>
  <c r="L363" i="1" s="1"/>
  <c r="M365" i="1"/>
  <c r="N365" i="1"/>
  <c r="P273" i="1"/>
  <c r="G78" i="2"/>
  <c r="O204" i="2"/>
  <c r="P204" i="2" s="1"/>
  <c r="O180" i="2"/>
  <c r="M421" i="1"/>
  <c r="O421" i="1" s="1"/>
  <c r="B421" i="1"/>
  <c r="O149" i="2"/>
  <c r="O173" i="2"/>
  <c r="O140" i="2"/>
  <c r="O139" i="2"/>
  <c r="F76" i="1"/>
  <c r="O76" i="1" s="1"/>
  <c r="P76" i="1" s="1"/>
  <c r="D45" i="2"/>
  <c r="E45" i="2"/>
  <c r="F45" i="2"/>
  <c r="G45" i="2"/>
  <c r="H45" i="2"/>
  <c r="I45" i="2"/>
  <c r="J45" i="2"/>
  <c r="K45" i="2"/>
  <c r="L45" i="2"/>
  <c r="M45" i="2"/>
  <c r="N45" i="2"/>
  <c r="C45" i="2"/>
  <c r="D232" i="2"/>
  <c r="E232" i="2"/>
  <c r="F232" i="2"/>
  <c r="G232" i="2"/>
  <c r="H232" i="2"/>
  <c r="I232" i="2"/>
  <c r="J232" i="2"/>
  <c r="K232" i="2"/>
  <c r="L232" i="2"/>
  <c r="M232" i="2"/>
  <c r="N232" i="2"/>
  <c r="C232" i="2"/>
  <c r="D230" i="2"/>
  <c r="E230" i="2"/>
  <c r="F230" i="2"/>
  <c r="G230" i="2"/>
  <c r="H230" i="2"/>
  <c r="I230" i="2"/>
  <c r="J230" i="2"/>
  <c r="K230" i="2"/>
  <c r="L230" i="2"/>
  <c r="M230" i="2"/>
  <c r="N230" i="2"/>
  <c r="C230" i="2"/>
  <c r="I217" i="2"/>
  <c r="K217" i="2"/>
  <c r="O218" i="2"/>
  <c r="P218" i="2" s="1"/>
  <c r="H217" i="2"/>
  <c r="O217" i="2" s="1"/>
  <c r="C182" i="20" s="1"/>
  <c r="N217" i="2"/>
  <c r="L217" i="2"/>
  <c r="J217" i="2"/>
  <c r="G217" i="2"/>
  <c r="E217" i="2"/>
  <c r="D219" i="2"/>
  <c r="E219" i="2"/>
  <c r="F219" i="2"/>
  <c r="F214" i="2" s="1"/>
  <c r="G219" i="2"/>
  <c r="H219" i="2"/>
  <c r="I219" i="2"/>
  <c r="J219" i="2"/>
  <c r="K219" i="2"/>
  <c r="L219" i="2"/>
  <c r="M219" i="2"/>
  <c r="N219" i="2"/>
  <c r="C219" i="2"/>
  <c r="O220" i="2"/>
  <c r="P220" i="2" s="1"/>
  <c r="N227" i="2"/>
  <c r="B227" i="2"/>
  <c r="D215" i="2"/>
  <c r="E215" i="2"/>
  <c r="F215" i="2"/>
  <c r="G215" i="2"/>
  <c r="H215" i="2"/>
  <c r="I215" i="2"/>
  <c r="J215" i="2"/>
  <c r="K215" i="2"/>
  <c r="L215" i="2"/>
  <c r="M215" i="2"/>
  <c r="N215" i="2"/>
  <c r="C215" i="2"/>
  <c r="C214" i="2" s="1"/>
  <c r="K221" i="2"/>
  <c r="O221" i="2" s="1"/>
  <c r="O226" i="2"/>
  <c r="B208" i="2"/>
  <c r="D208" i="2" s="1"/>
  <c r="J210" i="2"/>
  <c r="O211" i="2"/>
  <c r="P211" i="2" s="1"/>
  <c r="B209" i="2"/>
  <c r="D209" i="2" s="1"/>
  <c r="E209" i="2"/>
  <c r="D212" i="2"/>
  <c r="H212" i="2"/>
  <c r="M212" i="2"/>
  <c r="C209" i="2"/>
  <c r="K209" i="2"/>
  <c r="G209" i="2"/>
  <c r="N209" i="2"/>
  <c r="J209" i="2"/>
  <c r="F209" i="2"/>
  <c r="M209" i="2"/>
  <c r="I209" i="2"/>
  <c r="K179" i="2"/>
  <c r="O179" i="2" s="1"/>
  <c r="P179" i="2" s="1"/>
  <c r="J175" i="2"/>
  <c r="F175" i="2"/>
  <c r="D175" i="2"/>
  <c r="E175" i="2"/>
  <c r="G175" i="2"/>
  <c r="H175" i="2"/>
  <c r="I175" i="2"/>
  <c r="L175" i="2"/>
  <c r="N175" i="2"/>
  <c r="C175" i="2"/>
  <c r="B175" i="2"/>
  <c r="M182" i="2"/>
  <c r="K182" i="2"/>
  <c r="O182" i="2" s="1"/>
  <c r="J182" i="2"/>
  <c r="F182" i="2"/>
  <c r="E182" i="2"/>
  <c r="D182" i="2"/>
  <c r="M177" i="2"/>
  <c r="M175" i="2" s="1"/>
  <c r="K177" i="2"/>
  <c r="K175" i="2" s="1"/>
  <c r="O166" i="2"/>
  <c r="P166" i="2" s="1"/>
  <c r="J167" i="2"/>
  <c r="J162" i="2" s="1"/>
  <c r="E167" i="2"/>
  <c r="C168" i="2"/>
  <c r="K142" i="2"/>
  <c r="F134" i="2"/>
  <c r="D107" i="2"/>
  <c r="E107" i="2"/>
  <c r="F107" i="2"/>
  <c r="G107" i="2"/>
  <c r="G106" i="2" s="1"/>
  <c r="H107" i="2"/>
  <c r="I107" i="2"/>
  <c r="J107" i="2"/>
  <c r="K107" i="2"/>
  <c r="L107" i="2"/>
  <c r="M107" i="2"/>
  <c r="N107" i="2"/>
  <c r="C107" i="2"/>
  <c r="O13" i="2"/>
  <c r="O176" i="2"/>
  <c r="D138" i="2"/>
  <c r="O137" i="2"/>
  <c r="O136" i="2"/>
  <c r="P136" i="2" s="1"/>
  <c r="E16" i="2"/>
  <c r="D16" i="2"/>
  <c r="G208" i="1"/>
  <c r="B204" i="1"/>
  <c r="C143" i="20"/>
  <c r="D207" i="1"/>
  <c r="E207" i="1"/>
  <c r="F207" i="1"/>
  <c r="H207" i="1"/>
  <c r="I207" i="1"/>
  <c r="J207" i="1"/>
  <c r="K207" i="1"/>
  <c r="L207" i="1"/>
  <c r="M207" i="1"/>
  <c r="N207" i="1"/>
  <c r="C207" i="1"/>
  <c r="B207" i="1"/>
  <c r="J358" i="1"/>
  <c r="D358" i="1"/>
  <c r="J324" i="1"/>
  <c r="D324" i="1"/>
  <c r="C142" i="20"/>
  <c r="H203" i="2"/>
  <c r="G203" i="2"/>
  <c r="F203" i="2"/>
  <c r="H76" i="2"/>
  <c r="G76" i="2"/>
  <c r="F76" i="2"/>
  <c r="G10" i="2"/>
  <c r="O79" i="2"/>
  <c r="P79" i="2" s="1"/>
  <c r="B76" i="2"/>
  <c r="B275" i="1"/>
  <c r="C33" i="14" s="1"/>
  <c r="P226" i="1"/>
  <c r="H101" i="1"/>
  <c r="O101" i="1" s="1"/>
  <c r="P101" i="1" s="1"/>
  <c r="M415" i="1"/>
  <c r="O415" i="1" s="1"/>
  <c r="P415" i="1" s="1"/>
  <c r="P98" i="1"/>
  <c r="C8" i="20"/>
  <c r="G356" i="1"/>
  <c r="M362" i="1"/>
  <c r="L362" i="1"/>
  <c r="O362" i="1" s="1"/>
  <c r="C124" i="20" s="1"/>
  <c r="D448" i="1"/>
  <c r="E448" i="1"/>
  <c r="F448" i="1"/>
  <c r="G448" i="1"/>
  <c r="H448" i="1"/>
  <c r="I448" i="1"/>
  <c r="J448" i="1"/>
  <c r="K448" i="1"/>
  <c r="L448" i="1"/>
  <c r="M448" i="1"/>
  <c r="N448" i="1"/>
  <c r="C448" i="1"/>
  <c r="D428" i="1"/>
  <c r="E428" i="1"/>
  <c r="F428" i="1"/>
  <c r="G428" i="1"/>
  <c r="H428" i="1"/>
  <c r="I428" i="1"/>
  <c r="J428" i="1"/>
  <c r="K428" i="1"/>
  <c r="L428" i="1"/>
  <c r="M428" i="1"/>
  <c r="N428" i="1"/>
  <c r="C428" i="1"/>
  <c r="M429" i="1"/>
  <c r="K429" i="1"/>
  <c r="I429" i="1"/>
  <c r="G429" i="1"/>
  <c r="E429" i="1"/>
  <c r="C429" i="1"/>
  <c r="L433" i="1"/>
  <c r="K433" i="1"/>
  <c r="J433" i="1"/>
  <c r="O433" i="1" s="1"/>
  <c r="P433" i="1" s="1"/>
  <c r="O436" i="1"/>
  <c r="P436" i="1" s="1"/>
  <c r="B434" i="1"/>
  <c r="B441" i="1"/>
  <c r="B299" i="1"/>
  <c r="D418" i="1"/>
  <c r="E418" i="1"/>
  <c r="F418" i="1"/>
  <c r="G418" i="1"/>
  <c r="H418" i="1"/>
  <c r="I418" i="1"/>
  <c r="J418" i="1"/>
  <c r="K418" i="1"/>
  <c r="L418" i="1"/>
  <c r="M418" i="1"/>
  <c r="N418" i="1"/>
  <c r="C418" i="1"/>
  <c r="D417" i="1"/>
  <c r="E417" i="1"/>
  <c r="F417" i="1"/>
  <c r="G417" i="1"/>
  <c r="H417" i="1"/>
  <c r="I417" i="1"/>
  <c r="J417" i="1"/>
  <c r="K417" i="1"/>
  <c r="L417" i="1"/>
  <c r="M417" i="1"/>
  <c r="N417" i="1"/>
  <c r="C417" i="1"/>
  <c r="D408" i="1"/>
  <c r="D406" i="1"/>
  <c r="O406" i="1" s="1"/>
  <c r="P406" i="1" s="1"/>
  <c r="L405" i="1"/>
  <c r="J405" i="1"/>
  <c r="H405" i="1"/>
  <c r="F405" i="1"/>
  <c r="D405" i="1"/>
  <c r="K403" i="1"/>
  <c r="O403" i="1" s="1"/>
  <c r="P403" i="1" s="1"/>
  <c r="D401" i="1"/>
  <c r="E401" i="1"/>
  <c r="F401" i="1"/>
  <c r="G401" i="1"/>
  <c r="H401" i="1"/>
  <c r="I401" i="1"/>
  <c r="J401" i="1"/>
  <c r="K401" i="1"/>
  <c r="L401" i="1"/>
  <c r="M401" i="1"/>
  <c r="N401" i="1"/>
  <c r="D402" i="1"/>
  <c r="E402" i="1"/>
  <c r="F402" i="1"/>
  <c r="G402" i="1"/>
  <c r="H402" i="1"/>
  <c r="I402" i="1"/>
  <c r="J402" i="1"/>
  <c r="K402" i="1"/>
  <c r="L402" i="1"/>
  <c r="M402" i="1"/>
  <c r="N402" i="1"/>
  <c r="C402" i="1"/>
  <c r="C401" i="1"/>
  <c r="K400" i="1"/>
  <c r="J400" i="1"/>
  <c r="G400" i="1"/>
  <c r="F400" i="1"/>
  <c r="D400" i="1"/>
  <c r="C400" i="1"/>
  <c r="B411" i="1"/>
  <c r="J411" i="1" s="1"/>
  <c r="B399" i="1"/>
  <c r="M399" i="1" s="1"/>
  <c r="B416" i="1"/>
  <c r="K416" i="1"/>
  <c r="O416" i="1" s="1"/>
  <c r="P416" i="1" s="1"/>
  <c r="B419" i="1"/>
  <c r="P395" i="1"/>
  <c r="D389" i="1"/>
  <c r="E389" i="1"/>
  <c r="F389" i="1"/>
  <c r="G389" i="1"/>
  <c r="H389" i="1"/>
  <c r="I389" i="1"/>
  <c r="J389" i="1"/>
  <c r="K389" i="1"/>
  <c r="L389" i="1"/>
  <c r="M389" i="1"/>
  <c r="N389" i="1"/>
  <c r="D390" i="1"/>
  <c r="E390" i="1"/>
  <c r="F390" i="1"/>
  <c r="G390" i="1"/>
  <c r="H390" i="1"/>
  <c r="I390" i="1"/>
  <c r="J390" i="1"/>
  <c r="K390" i="1"/>
  <c r="L390" i="1"/>
  <c r="M390" i="1"/>
  <c r="N390" i="1"/>
  <c r="C390" i="1"/>
  <c r="D381" i="1"/>
  <c r="C365" i="1"/>
  <c r="K297" i="1"/>
  <c r="F297" i="1"/>
  <c r="I377" i="1"/>
  <c r="O377" i="1" s="1"/>
  <c r="B370" i="1"/>
  <c r="B369" i="1" s="1"/>
  <c r="C37" i="14" s="1"/>
  <c r="C19" i="23" s="1"/>
  <c r="E19" i="23" s="1"/>
  <c r="D374" i="1"/>
  <c r="D370" i="1" s="1"/>
  <c r="D369" i="1" s="1"/>
  <c r="E374" i="1"/>
  <c r="F374" i="1"/>
  <c r="F370" i="1" s="1"/>
  <c r="F369" i="1" s="1"/>
  <c r="G374" i="1"/>
  <c r="G370" i="1" s="1"/>
  <c r="G369" i="1" s="1"/>
  <c r="H374" i="1"/>
  <c r="I374" i="1"/>
  <c r="J374" i="1"/>
  <c r="J370" i="1" s="1"/>
  <c r="J369" i="1" s="1"/>
  <c r="K374" i="1"/>
  <c r="L374" i="1"/>
  <c r="M374" i="1"/>
  <c r="N374" i="1"/>
  <c r="C374" i="1"/>
  <c r="L373" i="1"/>
  <c r="O373" i="1" s="1"/>
  <c r="P373" i="1" s="1"/>
  <c r="I372" i="1"/>
  <c r="O372" i="1" s="1"/>
  <c r="P372" i="1" s="1"/>
  <c r="C371" i="1"/>
  <c r="O371" i="1" s="1"/>
  <c r="D125" i="1"/>
  <c r="E125" i="1"/>
  <c r="F125" i="1"/>
  <c r="G125" i="1"/>
  <c r="H125" i="1"/>
  <c r="I125" i="1"/>
  <c r="J125" i="1"/>
  <c r="K125" i="1"/>
  <c r="L125" i="1"/>
  <c r="M125" i="1"/>
  <c r="N125" i="1"/>
  <c r="C125" i="1"/>
  <c r="O268" i="1"/>
  <c r="P268" i="1" s="1"/>
  <c r="O266" i="1"/>
  <c r="O244" i="1"/>
  <c r="H260" i="1"/>
  <c r="O243" i="1"/>
  <c r="P243" i="1" s="1"/>
  <c r="O213" i="1"/>
  <c r="P213" i="1" s="1"/>
  <c r="E262" i="1"/>
  <c r="D262" i="1"/>
  <c r="F265" i="1"/>
  <c r="E247" i="1"/>
  <c r="F247" i="1"/>
  <c r="D247" i="1"/>
  <c r="D254" i="1"/>
  <c r="E254" i="1"/>
  <c r="F254" i="1"/>
  <c r="G254" i="1"/>
  <c r="H254" i="1"/>
  <c r="I254" i="1"/>
  <c r="J254" i="1"/>
  <c r="K254" i="1"/>
  <c r="L254" i="1"/>
  <c r="M254" i="1"/>
  <c r="N254" i="1"/>
  <c r="C254" i="1"/>
  <c r="E240" i="1"/>
  <c r="F240" i="1"/>
  <c r="D240" i="1"/>
  <c r="O240" i="1" s="1"/>
  <c r="D238" i="1"/>
  <c r="E238" i="1"/>
  <c r="F238" i="1"/>
  <c r="G238" i="1"/>
  <c r="H238" i="1"/>
  <c r="I238" i="1"/>
  <c r="J238" i="1"/>
  <c r="K238" i="1"/>
  <c r="L238" i="1"/>
  <c r="M238" i="1"/>
  <c r="N238" i="1"/>
  <c r="C238" i="1"/>
  <c r="D236" i="1"/>
  <c r="E236" i="1"/>
  <c r="F236" i="1"/>
  <c r="G236" i="1"/>
  <c r="H236" i="1"/>
  <c r="I236" i="1"/>
  <c r="J236" i="1"/>
  <c r="K236" i="1"/>
  <c r="L236" i="1"/>
  <c r="M236" i="1"/>
  <c r="N236" i="1"/>
  <c r="C236" i="1"/>
  <c r="N228" i="1"/>
  <c r="O228" i="1" s="1"/>
  <c r="P228" i="1" s="1"/>
  <c r="N227" i="1"/>
  <c r="O227" i="1" s="1"/>
  <c r="P227" i="1" s="1"/>
  <c r="J218" i="1"/>
  <c r="E218" i="1"/>
  <c r="O218" i="1" s="1"/>
  <c r="P218" i="1" s="1"/>
  <c r="C212" i="1"/>
  <c r="O212" i="1" s="1"/>
  <c r="D130" i="1"/>
  <c r="E130" i="1"/>
  <c r="F130" i="1"/>
  <c r="G130" i="1"/>
  <c r="H130" i="1"/>
  <c r="I130" i="1"/>
  <c r="J130" i="1"/>
  <c r="K130" i="1"/>
  <c r="L130" i="1"/>
  <c r="M130" i="1"/>
  <c r="N130" i="1"/>
  <c r="D131" i="1"/>
  <c r="E131" i="1"/>
  <c r="F131" i="1"/>
  <c r="G131" i="1"/>
  <c r="H131" i="1"/>
  <c r="I131" i="1"/>
  <c r="J131" i="1"/>
  <c r="K131" i="1"/>
  <c r="L131" i="1"/>
  <c r="M131" i="1"/>
  <c r="N131" i="1"/>
  <c r="D132" i="1"/>
  <c r="E132" i="1"/>
  <c r="F132" i="1"/>
  <c r="G132" i="1"/>
  <c r="H132" i="1"/>
  <c r="I132" i="1"/>
  <c r="J132" i="1"/>
  <c r="K132" i="1"/>
  <c r="L132" i="1"/>
  <c r="M132" i="1"/>
  <c r="N132" i="1"/>
  <c r="C131" i="1"/>
  <c r="C130" i="1"/>
  <c r="B126" i="1"/>
  <c r="B121" i="1"/>
  <c r="D128" i="1"/>
  <c r="E128" i="1"/>
  <c r="F128" i="1"/>
  <c r="G128" i="1"/>
  <c r="H128" i="1"/>
  <c r="I128" i="1"/>
  <c r="J128" i="1"/>
  <c r="K128" i="1"/>
  <c r="L128" i="1"/>
  <c r="M128" i="1"/>
  <c r="N128" i="1"/>
  <c r="D129" i="1"/>
  <c r="E129" i="1"/>
  <c r="F129" i="1"/>
  <c r="G129" i="1"/>
  <c r="H129" i="1"/>
  <c r="I129" i="1"/>
  <c r="J129" i="1"/>
  <c r="K129" i="1"/>
  <c r="L129" i="1"/>
  <c r="M129" i="1"/>
  <c r="N129" i="1"/>
  <c r="C129" i="1"/>
  <c r="C128" i="1"/>
  <c r="H100" i="1"/>
  <c r="O100" i="1" s="1"/>
  <c r="P100" i="1" s="1"/>
  <c r="K314" i="1"/>
  <c r="G314" i="1"/>
  <c r="D314" i="1"/>
  <c r="D294" i="1"/>
  <c r="I296" i="1"/>
  <c r="O296" i="1" s="1"/>
  <c r="P296" i="1" s="1"/>
  <c r="M295" i="1"/>
  <c r="K295" i="1"/>
  <c r="I295" i="1"/>
  <c r="G295" i="1"/>
  <c r="E295" i="1"/>
  <c r="C295" i="1"/>
  <c r="B282" i="1"/>
  <c r="D287" i="1"/>
  <c r="E287" i="1"/>
  <c r="F287" i="1"/>
  <c r="F278" i="1" s="1"/>
  <c r="G287" i="1"/>
  <c r="H287" i="1"/>
  <c r="I287" i="1"/>
  <c r="J287" i="1"/>
  <c r="J278" i="1" s="1"/>
  <c r="K287" i="1"/>
  <c r="L287" i="1"/>
  <c r="M287" i="1"/>
  <c r="M278" i="1" s="1"/>
  <c r="N287" i="1"/>
  <c r="N278" i="1" s="1"/>
  <c r="C287" i="1"/>
  <c r="C278" i="1" s="1"/>
  <c r="B285" i="1"/>
  <c r="D192" i="1"/>
  <c r="E192" i="1"/>
  <c r="F192" i="1"/>
  <c r="G192" i="1"/>
  <c r="H192" i="1"/>
  <c r="I192" i="1"/>
  <c r="J192" i="1"/>
  <c r="K192" i="1"/>
  <c r="L192" i="1"/>
  <c r="M192" i="1"/>
  <c r="N192" i="1"/>
  <c r="C192" i="1"/>
  <c r="D190" i="1"/>
  <c r="E190" i="1"/>
  <c r="F190" i="1"/>
  <c r="G190" i="1"/>
  <c r="H190" i="1"/>
  <c r="I190" i="1"/>
  <c r="J190" i="1"/>
  <c r="K190" i="1"/>
  <c r="L190" i="1"/>
  <c r="M190" i="1"/>
  <c r="N190" i="1"/>
  <c r="C190" i="1"/>
  <c r="D197" i="1"/>
  <c r="E197" i="1"/>
  <c r="F197" i="1"/>
  <c r="G197" i="1"/>
  <c r="H197" i="1"/>
  <c r="I197" i="1"/>
  <c r="J197" i="1"/>
  <c r="K197" i="1"/>
  <c r="L197" i="1"/>
  <c r="M197" i="1"/>
  <c r="N197" i="1"/>
  <c r="C197" i="1"/>
  <c r="D188" i="1"/>
  <c r="E188" i="1"/>
  <c r="F188" i="1"/>
  <c r="G188" i="1"/>
  <c r="H188" i="1"/>
  <c r="I188" i="1"/>
  <c r="J188" i="1"/>
  <c r="K188" i="1"/>
  <c r="L188" i="1"/>
  <c r="M188" i="1"/>
  <c r="N188" i="1"/>
  <c r="C188" i="1"/>
  <c r="B153" i="1"/>
  <c r="D180" i="1"/>
  <c r="E180" i="1"/>
  <c r="F180" i="1"/>
  <c r="G180" i="1"/>
  <c r="H180" i="1"/>
  <c r="I180" i="1"/>
  <c r="J180" i="1"/>
  <c r="K180" i="1"/>
  <c r="L180" i="1"/>
  <c r="M180" i="1"/>
  <c r="N180" i="1"/>
  <c r="C180" i="1"/>
  <c r="D118" i="1"/>
  <c r="E118" i="1"/>
  <c r="F118" i="1"/>
  <c r="G118" i="1"/>
  <c r="H118" i="1"/>
  <c r="I118" i="1"/>
  <c r="J118" i="1"/>
  <c r="K118" i="1"/>
  <c r="L118" i="1"/>
  <c r="M118" i="1"/>
  <c r="N118" i="1"/>
  <c r="C118" i="1"/>
  <c r="C116" i="1"/>
  <c r="H90" i="1"/>
  <c r="E90" i="1"/>
  <c r="K84" i="1"/>
  <c r="H84" i="1"/>
  <c r="E84" i="1"/>
  <c r="S44" i="1"/>
  <c r="S39" i="1"/>
  <c r="S37" i="1"/>
  <c r="S32" i="1"/>
  <c r="S30" i="1"/>
  <c r="S18" i="1"/>
  <c r="S13" i="1"/>
  <c r="S9" i="1"/>
  <c r="O88" i="1"/>
  <c r="D153" i="1"/>
  <c r="D152" i="1" s="1"/>
  <c r="E153" i="1"/>
  <c r="E152" i="1" s="1"/>
  <c r="C153" i="1"/>
  <c r="D87" i="1"/>
  <c r="E87" i="1"/>
  <c r="F87" i="1"/>
  <c r="G87" i="1"/>
  <c r="H87" i="1"/>
  <c r="I87" i="1"/>
  <c r="J87" i="1"/>
  <c r="K87" i="1"/>
  <c r="L87" i="1"/>
  <c r="M87" i="1"/>
  <c r="N87" i="1"/>
  <c r="C87" i="1"/>
  <c r="I75" i="2"/>
  <c r="J75" i="2"/>
  <c r="M75" i="2"/>
  <c r="O477" i="1"/>
  <c r="T12" i="28"/>
  <c r="T11" i="28"/>
  <c r="T10" i="28"/>
  <c r="T9" i="28"/>
  <c r="T8" i="28"/>
  <c r="T7" i="28"/>
  <c r="T6" i="28"/>
  <c r="T13" i="28" s="1"/>
  <c r="R13" i="28"/>
  <c r="K6" i="28"/>
  <c r="K13" i="28" s="1"/>
  <c r="K7" i="28"/>
  <c r="K8" i="28"/>
  <c r="K9" i="28"/>
  <c r="K10" i="28"/>
  <c r="K11" i="28"/>
  <c r="K12" i="28"/>
  <c r="I13" i="28"/>
  <c r="Q13" i="28"/>
  <c r="O13" i="28"/>
  <c r="N12" i="28"/>
  <c r="N11" i="28"/>
  <c r="N10" i="28"/>
  <c r="N9" i="28"/>
  <c r="N8" i="28"/>
  <c r="N7" i="28"/>
  <c r="N13" i="28" s="1"/>
  <c r="M13" i="28" s="1"/>
  <c r="N6" i="28"/>
  <c r="L13" i="28"/>
  <c r="F13" i="28"/>
  <c r="H7" i="28"/>
  <c r="H8" i="28"/>
  <c r="H9" i="28"/>
  <c r="H10" i="28"/>
  <c r="H11" i="28"/>
  <c r="H13" i="28" s="1"/>
  <c r="G13" i="28" s="1"/>
  <c r="H12" i="28"/>
  <c r="H6" i="28"/>
  <c r="E7" i="28"/>
  <c r="E8" i="28"/>
  <c r="E9" i="28"/>
  <c r="E10" i="28"/>
  <c r="E11" i="28"/>
  <c r="E12" i="28"/>
  <c r="E13" i="28" s="1"/>
  <c r="D13" i="28" s="1"/>
  <c r="E6" i="28"/>
  <c r="C13" i="28"/>
  <c r="B24" i="25"/>
  <c r="B28" i="25" s="1"/>
  <c r="D6" i="26"/>
  <c r="O147" i="2"/>
  <c r="B273" i="20"/>
  <c r="B274" i="20"/>
  <c r="B261" i="20"/>
  <c r="B262" i="20"/>
  <c r="B243" i="20"/>
  <c r="B244" i="20"/>
  <c r="B253" i="20"/>
  <c r="B254" i="20"/>
  <c r="B255" i="20"/>
  <c r="B256" i="20"/>
  <c r="B257" i="20"/>
  <c r="B258" i="20"/>
  <c r="B259" i="20"/>
  <c r="B260" i="20"/>
  <c r="B242" i="20"/>
  <c r="B49" i="20"/>
  <c r="B225" i="2"/>
  <c r="E222" i="2"/>
  <c r="E214" i="2" s="1"/>
  <c r="K207" i="2"/>
  <c r="K208" i="2"/>
  <c r="B178" i="2"/>
  <c r="J172" i="2"/>
  <c r="D172" i="2"/>
  <c r="O172" i="2" s="1"/>
  <c r="B150" i="2"/>
  <c r="I150" i="2"/>
  <c r="I144" i="2" s="1"/>
  <c r="G109" i="2"/>
  <c r="L222" i="2"/>
  <c r="H222" i="2"/>
  <c r="D222" i="2"/>
  <c r="N222" i="2"/>
  <c r="J222" i="2"/>
  <c r="F222" i="2"/>
  <c r="C222" i="2"/>
  <c r="K222" i="2"/>
  <c r="G222" i="2"/>
  <c r="M222" i="2"/>
  <c r="I222" i="2"/>
  <c r="N208" i="2"/>
  <c r="J208" i="2"/>
  <c r="F208" i="2"/>
  <c r="H208" i="2"/>
  <c r="C109" i="2"/>
  <c r="K109" i="2"/>
  <c r="N109" i="2"/>
  <c r="J109" i="2"/>
  <c r="F109" i="2"/>
  <c r="M109" i="2"/>
  <c r="I109" i="2"/>
  <c r="E109" i="2"/>
  <c r="L109" i="2"/>
  <c r="H109" i="2"/>
  <c r="D109" i="2"/>
  <c r="O457" i="1"/>
  <c r="B12" i="1" s="1"/>
  <c r="R12" i="1" s="1"/>
  <c r="T12" i="1" s="1"/>
  <c r="C454" i="1"/>
  <c r="Q457" i="1"/>
  <c r="O566" i="1" s="1"/>
  <c r="M462" i="1"/>
  <c r="G462" i="1"/>
  <c r="H462" i="1"/>
  <c r="D446" i="1"/>
  <c r="E446" i="1"/>
  <c r="F446" i="1"/>
  <c r="G446" i="1"/>
  <c r="H446" i="1"/>
  <c r="I446" i="1"/>
  <c r="J446" i="1"/>
  <c r="K446" i="1"/>
  <c r="L446" i="1"/>
  <c r="M446" i="1"/>
  <c r="N446" i="1"/>
  <c r="C446" i="1"/>
  <c r="D445" i="1"/>
  <c r="E445" i="1"/>
  <c r="F445" i="1"/>
  <c r="G445" i="1"/>
  <c r="H445" i="1"/>
  <c r="I445" i="1"/>
  <c r="J445" i="1"/>
  <c r="K445" i="1"/>
  <c r="L445" i="1"/>
  <c r="M445" i="1"/>
  <c r="N445" i="1"/>
  <c r="C445" i="1"/>
  <c r="D444" i="1"/>
  <c r="E444" i="1"/>
  <c r="F444" i="1"/>
  <c r="G444" i="1"/>
  <c r="H444" i="1"/>
  <c r="I444" i="1"/>
  <c r="J444" i="1"/>
  <c r="K444" i="1"/>
  <c r="L444" i="1"/>
  <c r="M444" i="1"/>
  <c r="N444" i="1"/>
  <c r="C444" i="1"/>
  <c r="N441" i="1"/>
  <c r="K435" i="1"/>
  <c r="E399" i="1"/>
  <c r="I399" i="1"/>
  <c r="L420" i="1"/>
  <c r="K420" i="1"/>
  <c r="D423" i="1"/>
  <c r="E423" i="1"/>
  <c r="F423" i="1"/>
  <c r="G423" i="1"/>
  <c r="H423" i="1"/>
  <c r="I423" i="1"/>
  <c r="J423" i="1"/>
  <c r="K423" i="1"/>
  <c r="L423" i="1"/>
  <c r="M423" i="1"/>
  <c r="N423" i="1"/>
  <c r="C423" i="1"/>
  <c r="E396" i="1"/>
  <c r="C389" i="1"/>
  <c r="D387" i="1"/>
  <c r="E387" i="1"/>
  <c r="F387" i="1"/>
  <c r="G387" i="1"/>
  <c r="G385" i="1" s="1"/>
  <c r="H387" i="1"/>
  <c r="I387" i="1"/>
  <c r="J387" i="1"/>
  <c r="K387" i="1"/>
  <c r="L387" i="1"/>
  <c r="M387" i="1"/>
  <c r="N387" i="1"/>
  <c r="C387" i="1"/>
  <c r="D386" i="1"/>
  <c r="D385" i="1" s="1"/>
  <c r="E386" i="1"/>
  <c r="F386" i="1"/>
  <c r="F385" i="1" s="1"/>
  <c r="G386" i="1"/>
  <c r="H386" i="1"/>
  <c r="I386" i="1"/>
  <c r="J386" i="1"/>
  <c r="K386" i="1"/>
  <c r="L386" i="1"/>
  <c r="L385" i="1" s="1"/>
  <c r="M386" i="1"/>
  <c r="N386" i="1"/>
  <c r="N385" i="1" s="1"/>
  <c r="C386" i="1"/>
  <c r="I375" i="1"/>
  <c r="E375" i="1"/>
  <c r="D353" i="1"/>
  <c r="J353" i="1"/>
  <c r="M351" i="1"/>
  <c r="K351" i="1"/>
  <c r="I351" i="1"/>
  <c r="G351" i="1"/>
  <c r="E351" i="1"/>
  <c r="C351" i="1"/>
  <c r="D346" i="1"/>
  <c r="D344" i="1" s="1"/>
  <c r="E346" i="1"/>
  <c r="E344" i="1" s="1"/>
  <c r="F346" i="1"/>
  <c r="G346" i="1"/>
  <c r="H346" i="1"/>
  <c r="H344" i="1" s="1"/>
  <c r="I346" i="1"/>
  <c r="J346" i="1"/>
  <c r="K346" i="1"/>
  <c r="L346" i="1"/>
  <c r="M346" i="1"/>
  <c r="N346" i="1"/>
  <c r="N344" i="1" s="1"/>
  <c r="C346" i="1"/>
  <c r="L345" i="1"/>
  <c r="L344" i="1" s="1"/>
  <c r="K345" i="1"/>
  <c r="L341" i="1"/>
  <c r="O341" i="1" s="1"/>
  <c r="M333" i="1"/>
  <c r="K333" i="1"/>
  <c r="K329" i="1" s="1"/>
  <c r="I333" i="1"/>
  <c r="G333" i="1"/>
  <c r="E333" i="1"/>
  <c r="C333" i="1"/>
  <c r="B339" i="1"/>
  <c r="I331" i="1"/>
  <c r="M331" i="1"/>
  <c r="G331" i="1"/>
  <c r="C331" i="1"/>
  <c r="K321" i="1"/>
  <c r="H321" i="1"/>
  <c r="E321" i="1"/>
  <c r="F304" i="1"/>
  <c r="I312" i="1"/>
  <c r="E312" i="1"/>
  <c r="M293" i="1"/>
  <c r="K293" i="1"/>
  <c r="K292" i="1" s="1"/>
  <c r="I293" i="1"/>
  <c r="I292" i="1" s="1"/>
  <c r="G293" i="1"/>
  <c r="E293" i="1"/>
  <c r="C293" i="1"/>
  <c r="L435" i="1"/>
  <c r="H396" i="1"/>
  <c r="C396" i="1"/>
  <c r="K396" i="1"/>
  <c r="K392" i="1" s="1"/>
  <c r="G396" i="1"/>
  <c r="N396" i="1"/>
  <c r="J396" i="1"/>
  <c r="F396" i="1"/>
  <c r="L396" i="1"/>
  <c r="D396" i="1"/>
  <c r="M396" i="1"/>
  <c r="I396" i="1"/>
  <c r="K353" i="1"/>
  <c r="C353" i="1"/>
  <c r="G353" i="1"/>
  <c r="N353" i="1"/>
  <c r="F353" i="1"/>
  <c r="M353" i="1"/>
  <c r="I353" i="1"/>
  <c r="E353" i="1"/>
  <c r="L353" i="1"/>
  <c r="H353" i="1"/>
  <c r="O83" i="1"/>
  <c r="I291" i="1"/>
  <c r="O291" i="1" s="1"/>
  <c r="C255" i="20" s="1"/>
  <c r="B289" i="1"/>
  <c r="D283" i="1"/>
  <c r="I283" i="1"/>
  <c r="L272" i="1"/>
  <c r="L232" i="1" s="1"/>
  <c r="K272" i="1"/>
  <c r="E261" i="1"/>
  <c r="H265" i="1"/>
  <c r="E265" i="1"/>
  <c r="D263" i="1"/>
  <c r="E263" i="1"/>
  <c r="F263" i="1"/>
  <c r="C263" i="1"/>
  <c r="E264" i="1"/>
  <c r="O264" i="1" s="1"/>
  <c r="P264" i="1" s="1"/>
  <c r="E235" i="1"/>
  <c r="F235" i="1"/>
  <c r="D235" i="1"/>
  <c r="E239" i="1"/>
  <c r="F239" i="1"/>
  <c r="D239" i="1"/>
  <c r="E237" i="1"/>
  <c r="F237" i="1"/>
  <c r="D237" i="1"/>
  <c r="L211" i="1"/>
  <c r="L209" i="1" s="1"/>
  <c r="I211" i="1"/>
  <c r="F211" i="1"/>
  <c r="D211" i="1"/>
  <c r="D261" i="1"/>
  <c r="O269" i="1"/>
  <c r="C204" i="1"/>
  <c r="F172" i="1"/>
  <c r="O172" i="1" s="1"/>
  <c r="P172" i="1" s="1"/>
  <c r="D155" i="1"/>
  <c r="O155" i="1" s="1"/>
  <c r="L154" i="1"/>
  <c r="I154" i="1"/>
  <c r="F154" i="1"/>
  <c r="C154" i="1"/>
  <c r="E145" i="1"/>
  <c r="O145" i="1" s="1"/>
  <c r="C139" i="20" s="1"/>
  <c r="G151" i="1"/>
  <c r="O151" i="1" s="1"/>
  <c r="C145" i="20" s="1"/>
  <c r="I144" i="1"/>
  <c r="O144" i="1" s="1"/>
  <c r="P144" i="1" s="1"/>
  <c r="K138" i="1"/>
  <c r="O138" i="1" s="1"/>
  <c r="N133" i="1"/>
  <c r="L133" i="1"/>
  <c r="J133" i="1"/>
  <c r="H133" i="1"/>
  <c r="F133" i="1"/>
  <c r="D133" i="1"/>
  <c r="E113" i="1"/>
  <c r="F113" i="1"/>
  <c r="G113" i="1"/>
  <c r="H113" i="1"/>
  <c r="I113" i="1"/>
  <c r="J113" i="1"/>
  <c r="K113" i="1"/>
  <c r="L113" i="1"/>
  <c r="M113" i="1"/>
  <c r="N113" i="1"/>
  <c r="D113" i="1"/>
  <c r="C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F109" i="1"/>
  <c r="O109" i="1" s="1"/>
  <c r="P109" i="1" s="1"/>
  <c r="L75" i="2"/>
  <c r="N75" i="2"/>
  <c r="B181" i="20"/>
  <c r="B212" i="20"/>
  <c r="B213" i="20"/>
  <c r="B214" i="20"/>
  <c r="B215" i="20"/>
  <c r="B216" i="20"/>
  <c r="B211" i="20"/>
  <c r="B162" i="20"/>
  <c r="B19" i="25"/>
  <c r="O19" i="21"/>
  <c r="O13" i="21"/>
  <c r="O12" i="21"/>
  <c r="O11" i="21"/>
  <c r="O10" i="21"/>
  <c r="O6" i="21"/>
  <c r="O20" i="21" s="1"/>
  <c r="O5" i="21"/>
  <c r="O4" i="21"/>
  <c r="B121" i="20"/>
  <c r="B122" i="20"/>
  <c r="B123" i="20"/>
  <c r="B124" i="20"/>
  <c r="B111" i="20"/>
  <c r="B112" i="20"/>
  <c r="B113" i="20"/>
  <c r="B114" i="20"/>
  <c r="B115" i="20"/>
  <c r="B116" i="20"/>
  <c r="B117" i="20"/>
  <c r="B118" i="20"/>
  <c r="B119" i="20"/>
  <c r="B120" i="20"/>
  <c r="B109" i="20"/>
  <c r="B110" i="20"/>
  <c r="B104" i="20"/>
  <c r="B103" i="20"/>
  <c r="B86" i="20"/>
  <c r="B32" i="20"/>
  <c r="C31" i="15"/>
  <c r="C8" i="15"/>
  <c r="O210" i="2"/>
  <c r="P210" i="2" s="1"/>
  <c r="O151" i="2"/>
  <c r="P151" i="2"/>
  <c r="O116" i="2"/>
  <c r="B88" i="7"/>
  <c r="C162" i="20" s="1"/>
  <c r="O135" i="2"/>
  <c r="O295" i="2"/>
  <c r="G300" i="2" s="1"/>
  <c r="O294" i="2"/>
  <c r="O293" i="2"/>
  <c r="O292" i="2"/>
  <c r="B199" i="2"/>
  <c r="B196" i="2"/>
  <c r="B193" i="2"/>
  <c r="B191" i="2"/>
  <c r="B188" i="2"/>
  <c r="B183" i="2"/>
  <c r="C30" i="15"/>
  <c r="B170" i="2"/>
  <c r="B169" i="2" s="1"/>
  <c r="C29" i="15" s="1"/>
  <c r="I165" i="2"/>
  <c r="O165" i="2" s="1"/>
  <c r="P165" i="2" s="1"/>
  <c r="B162" i="2"/>
  <c r="M164" i="2"/>
  <c r="I164" i="2"/>
  <c r="E164" i="2"/>
  <c r="M163" i="2"/>
  <c r="K163" i="2"/>
  <c r="I163" i="2"/>
  <c r="G163" i="2"/>
  <c r="E163" i="2"/>
  <c r="C163" i="2"/>
  <c r="B160" i="2"/>
  <c r="B156" i="2"/>
  <c r="M141" i="2"/>
  <c r="K141" i="2"/>
  <c r="I141" i="2"/>
  <c r="G141" i="2"/>
  <c r="E141" i="2"/>
  <c r="C141" i="2"/>
  <c r="L128" i="2"/>
  <c r="G128" i="2"/>
  <c r="N130" i="2"/>
  <c r="L130" i="2"/>
  <c r="J130" i="2"/>
  <c r="H130" i="2"/>
  <c r="F130" i="2"/>
  <c r="D130" i="2"/>
  <c r="B124" i="2"/>
  <c r="B122" i="2"/>
  <c r="D123" i="2"/>
  <c r="E123" i="2"/>
  <c r="F123" i="2"/>
  <c r="G123" i="2"/>
  <c r="H123" i="2"/>
  <c r="I123" i="2"/>
  <c r="J123" i="2"/>
  <c r="K123" i="2"/>
  <c r="L123" i="2"/>
  <c r="M123" i="2"/>
  <c r="N123" i="2"/>
  <c r="C123" i="2"/>
  <c r="B120" i="2"/>
  <c r="B117" i="2"/>
  <c r="C115" i="2"/>
  <c r="D115" i="2"/>
  <c r="E115" i="2"/>
  <c r="F115" i="2"/>
  <c r="H115" i="2"/>
  <c r="I115" i="2"/>
  <c r="J115" i="2"/>
  <c r="K115" i="2"/>
  <c r="L115" i="2"/>
  <c r="M115" i="2"/>
  <c r="N115" i="2"/>
  <c r="G115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N114" i="2"/>
  <c r="L114" i="2"/>
  <c r="J114" i="2"/>
  <c r="H114" i="2"/>
  <c r="F114" i="2"/>
  <c r="D114" i="2"/>
  <c r="D112" i="2"/>
  <c r="E112" i="2"/>
  <c r="F112" i="2"/>
  <c r="G112" i="2"/>
  <c r="H112" i="2"/>
  <c r="I112" i="2"/>
  <c r="J112" i="2"/>
  <c r="K112" i="2"/>
  <c r="L112" i="2"/>
  <c r="L106" i="2" s="1"/>
  <c r="M112" i="2"/>
  <c r="N112" i="2"/>
  <c r="C112" i="2"/>
  <c r="D111" i="2"/>
  <c r="E111" i="2"/>
  <c r="F111" i="2"/>
  <c r="G111" i="2"/>
  <c r="H111" i="2"/>
  <c r="I111" i="2"/>
  <c r="I106" i="2" s="1"/>
  <c r="J111" i="2"/>
  <c r="K111" i="2"/>
  <c r="L111" i="2"/>
  <c r="M111" i="2"/>
  <c r="N111" i="2"/>
  <c r="C111" i="2"/>
  <c r="E297" i="2"/>
  <c r="Q292" i="2"/>
  <c r="F299" i="2"/>
  <c r="Q294" i="2"/>
  <c r="D14" i="23"/>
  <c r="Q295" i="2"/>
  <c r="Q293" i="2"/>
  <c r="L297" i="2"/>
  <c r="D297" i="2"/>
  <c r="L299" i="2"/>
  <c r="H299" i="2"/>
  <c r="H297" i="2"/>
  <c r="D299" i="2"/>
  <c r="I299" i="2"/>
  <c r="M299" i="2"/>
  <c r="E299" i="2"/>
  <c r="N300" i="2"/>
  <c r="C297" i="2"/>
  <c r="I300" i="2"/>
  <c r="K297" i="2"/>
  <c r="C299" i="2"/>
  <c r="L300" i="2"/>
  <c r="K299" i="2"/>
  <c r="G299" i="2"/>
  <c r="N297" i="2"/>
  <c r="J297" i="2"/>
  <c r="M300" i="2"/>
  <c r="C300" i="2"/>
  <c r="K300" i="2"/>
  <c r="N299" i="2"/>
  <c r="J299" i="2"/>
  <c r="B132" i="2"/>
  <c r="B106" i="2"/>
  <c r="B96" i="2"/>
  <c r="C26" i="15" s="1"/>
  <c r="B89" i="2"/>
  <c r="B88" i="2" s="1"/>
  <c r="C25" i="15" s="1"/>
  <c r="B92" i="2"/>
  <c r="D94" i="2"/>
  <c r="E94" i="2"/>
  <c r="F94" i="2"/>
  <c r="G94" i="2"/>
  <c r="H94" i="2"/>
  <c r="I94" i="2"/>
  <c r="J94" i="2"/>
  <c r="K94" i="2"/>
  <c r="L94" i="2"/>
  <c r="M94" i="2"/>
  <c r="N94" i="2"/>
  <c r="C94" i="2"/>
  <c r="O94" i="2" s="1"/>
  <c r="D95" i="2"/>
  <c r="D92" i="2" s="1"/>
  <c r="D88" i="2" s="1"/>
  <c r="E95" i="2"/>
  <c r="F95" i="2"/>
  <c r="G95" i="2"/>
  <c r="H95" i="2"/>
  <c r="I95" i="2"/>
  <c r="J95" i="2"/>
  <c r="K95" i="2"/>
  <c r="K92" i="2" s="1"/>
  <c r="L95" i="2"/>
  <c r="L92" i="2" s="1"/>
  <c r="M95" i="2"/>
  <c r="M92" i="2" s="1"/>
  <c r="N95" i="2"/>
  <c r="N92" i="2" s="1"/>
  <c r="C95" i="2"/>
  <c r="D93" i="2"/>
  <c r="E93" i="2"/>
  <c r="F93" i="2"/>
  <c r="G93" i="2"/>
  <c r="H93" i="2"/>
  <c r="H92" i="2" s="1"/>
  <c r="I93" i="2"/>
  <c r="J93" i="2"/>
  <c r="K93" i="2"/>
  <c r="L93" i="2"/>
  <c r="M93" i="2"/>
  <c r="N93" i="2"/>
  <c r="C93" i="2"/>
  <c r="D86" i="2"/>
  <c r="E86" i="2"/>
  <c r="F86" i="2"/>
  <c r="G86" i="2"/>
  <c r="H86" i="2"/>
  <c r="I86" i="2"/>
  <c r="J86" i="2"/>
  <c r="K86" i="2"/>
  <c r="L86" i="2"/>
  <c r="L84" i="2" s="1"/>
  <c r="M86" i="2"/>
  <c r="N86" i="2"/>
  <c r="D87" i="2"/>
  <c r="E87" i="2"/>
  <c r="F87" i="2"/>
  <c r="G87" i="2"/>
  <c r="H87" i="2"/>
  <c r="I87" i="2"/>
  <c r="J87" i="2"/>
  <c r="K87" i="2"/>
  <c r="L87" i="2"/>
  <c r="M87" i="2"/>
  <c r="N87" i="2"/>
  <c r="C87" i="2"/>
  <c r="C86" i="2"/>
  <c r="C84" i="2" s="1"/>
  <c r="K85" i="2"/>
  <c r="F85" i="2"/>
  <c r="O85" i="2" s="1"/>
  <c r="K75" i="2"/>
  <c r="G75" i="2"/>
  <c r="B84" i="2"/>
  <c r="C24" i="15" s="1"/>
  <c r="O286" i="2"/>
  <c r="Q286" i="2" s="1"/>
  <c r="O285" i="2"/>
  <c r="N288" i="2" s="1"/>
  <c r="N82" i="2" s="1"/>
  <c r="D231" i="2"/>
  <c r="I231" i="2"/>
  <c r="I229" i="2" s="1"/>
  <c r="I228" i="2" s="1"/>
  <c r="M231" i="2"/>
  <c r="K231" i="2"/>
  <c r="F231" i="2"/>
  <c r="B229" i="2"/>
  <c r="E288" i="2"/>
  <c r="Q285" i="2"/>
  <c r="D82" i="2" s="1"/>
  <c r="F289" i="2"/>
  <c r="H288" i="2"/>
  <c r="G288" i="2"/>
  <c r="G82" i="2" s="1"/>
  <c r="C288" i="2"/>
  <c r="D288" i="2"/>
  <c r="L288" i="2"/>
  <c r="K288" i="2"/>
  <c r="I289" i="2"/>
  <c r="L289" i="2"/>
  <c r="H289" i="2"/>
  <c r="D289" i="2"/>
  <c r="C289" i="2"/>
  <c r="K289" i="2"/>
  <c r="G289" i="2"/>
  <c r="J288" i="2"/>
  <c r="F288" i="2"/>
  <c r="F82" i="2" s="1"/>
  <c r="M289" i="2"/>
  <c r="E289" i="2"/>
  <c r="N289" i="2"/>
  <c r="J289" i="2"/>
  <c r="M288" i="2"/>
  <c r="O78" i="2"/>
  <c r="B60" i="7" s="1"/>
  <c r="C156" i="20" s="1"/>
  <c r="C35" i="15"/>
  <c r="C34" i="15" s="1"/>
  <c r="B228" i="2"/>
  <c r="B80" i="2"/>
  <c r="C23" i="15"/>
  <c r="P78" i="2"/>
  <c r="K82" i="2"/>
  <c r="L82" i="2"/>
  <c r="E82" i="2"/>
  <c r="M82" i="2"/>
  <c r="B75" i="2"/>
  <c r="C22" i="15"/>
  <c r="O280" i="2"/>
  <c r="Q280" i="2" s="1"/>
  <c r="O276" i="2"/>
  <c r="O272" i="2"/>
  <c r="J274" i="2" s="1"/>
  <c r="M34" i="2"/>
  <c r="N34" i="2"/>
  <c r="L34" i="2"/>
  <c r="D34" i="2"/>
  <c r="E34" i="2"/>
  <c r="F34" i="2"/>
  <c r="G34" i="2"/>
  <c r="H34" i="2"/>
  <c r="I34" i="2"/>
  <c r="J34" i="2"/>
  <c r="O264" i="2"/>
  <c r="Q264" i="2" s="1"/>
  <c r="O260" i="2"/>
  <c r="O256" i="2"/>
  <c r="O252" i="2"/>
  <c r="O247" i="2"/>
  <c r="C14" i="2"/>
  <c r="D14" i="2"/>
  <c r="E14" i="2"/>
  <c r="F14" i="2"/>
  <c r="H14" i="2"/>
  <c r="O14" i="2" s="1"/>
  <c r="I14" i="2"/>
  <c r="J14" i="2"/>
  <c r="K14" i="2"/>
  <c r="L14" i="2"/>
  <c r="M14" i="2"/>
  <c r="N14" i="2"/>
  <c r="G14" i="2"/>
  <c r="P47" i="2"/>
  <c r="O243" i="2"/>
  <c r="B34" i="2"/>
  <c r="B30" i="2"/>
  <c r="D266" i="2"/>
  <c r="B27" i="2"/>
  <c r="Q276" i="2"/>
  <c r="C7" i="15"/>
  <c r="F258" i="2"/>
  <c r="Q256" i="2"/>
  <c r="D282" i="2"/>
  <c r="E274" i="2"/>
  <c r="Q272" i="2"/>
  <c r="K274" i="2"/>
  <c r="D274" i="2"/>
  <c r="H274" i="2"/>
  <c r="N274" i="2"/>
  <c r="F274" i="2"/>
  <c r="F278" i="2"/>
  <c r="L274" i="2"/>
  <c r="G274" i="2"/>
  <c r="M278" i="2"/>
  <c r="I278" i="2"/>
  <c r="M274" i="2"/>
  <c r="I274" i="2"/>
  <c r="L278" i="2"/>
  <c r="H278" i="2"/>
  <c r="M282" i="2"/>
  <c r="I282" i="2"/>
  <c r="E282" i="2"/>
  <c r="G258" i="2"/>
  <c r="G19" i="2" s="1"/>
  <c r="K34" i="2"/>
  <c r="C258" i="2"/>
  <c r="O268" i="2"/>
  <c r="F270" i="2" s="1"/>
  <c r="J249" i="2"/>
  <c r="M266" i="2"/>
  <c r="E266" i="2"/>
  <c r="N245" i="2"/>
  <c r="C266" i="2"/>
  <c r="K266" i="2"/>
  <c r="G266" i="2"/>
  <c r="J266" i="2"/>
  <c r="F266" i="2"/>
  <c r="F249" i="2"/>
  <c r="L266" i="2"/>
  <c r="H266" i="2"/>
  <c r="H249" i="2"/>
  <c r="D249" i="2"/>
  <c r="C254" i="2"/>
  <c r="K254" i="2"/>
  <c r="G262" i="2"/>
  <c r="C245" i="2"/>
  <c r="C305" i="2" s="1"/>
  <c r="G249" i="2"/>
  <c r="N254" i="2"/>
  <c r="J254" i="2"/>
  <c r="F254" i="2"/>
  <c r="M254" i="2"/>
  <c r="I254" i="2"/>
  <c r="M245" i="2"/>
  <c r="M306" i="2" s="1"/>
  <c r="I245" i="2"/>
  <c r="M249" i="2"/>
  <c r="I249" i="2"/>
  <c r="I306" i="2"/>
  <c r="I305" i="2"/>
  <c r="C306" i="2"/>
  <c r="D17" i="2"/>
  <c r="L270" i="2"/>
  <c r="N270" i="2"/>
  <c r="G270" i="2"/>
  <c r="C270" i="2"/>
  <c r="J270" i="2"/>
  <c r="K270" i="2"/>
  <c r="D27" i="2"/>
  <c r="D26" i="2" s="1"/>
  <c r="B85" i="1"/>
  <c r="C27" i="14" s="1"/>
  <c r="B380" i="1"/>
  <c r="B313" i="1"/>
  <c r="O285" i="1"/>
  <c r="P357" i="1"/>
  <c r="D412" i="1"/>
  <c r="O412" i="1" s="1"/>
  <c r="P412" i="1" s="1"/>
  <c r="O274" i="1"/>
  <c r="P274" i="1" s="1"/>
  <c r="C112" i="20"/>
  <c r="C111" i="20"/>
  <c r="C110" i="20"/>
  <c r="C109" i="20"/>
  <c r="O408" i="1"/>
  <c r="P408" i="1" s="1"/>
  <c r="B152" i="1"/>
  <c r="B137" i="1"/>
  <c r="B135" i="1" s="1"/>
  <c r="B134" i="1" s="1"/>
  <c r="C30" i="14" s="1"/>
  <c r="B348" i="1"/>
  <c r="D350" i="1"/>
  <c r="E350" i="1"/>
  <c r="F350" i="1"/>
  <c r="G350" i="1"/>
  <c r="H350" i="1"/>
  <c r="I350" i="1"/>
  <c r="J350" i="1"/>
  <c r="K350" i="1"/>
  <c r="L350" i="1"/>
  <c r="M350" i="1"/>
  <c r="N350" i="1"/>
  <c r="C350" i="1"/>
  <c r="B344" i="1"/>
  <c r="P327" i="1"/>
  <c r="H332" i="1"/>
  <c r="K323" i="1"/>
  <c r="B443" i="1"/>
  <c r="C41" i="14" s="1"/>
  <c r="C86" i="20"/>
  <c r="B316" i="1"/>
  <c r="L332" i="1"/>
  <c r="D332" i="1"/>
  <c r="D329" i="1" s="1"/>
  <c r="E413" i="1"/>
  <c r="O413" i="1" s="1"/>
  <c r="P413" i="1" s="1"/>
  <c r="B392" i="1"/>
  <c r="M394" i="1"/>
  <c r="J394" i="1"/>
  <c r="G394" i="1"/>
  <c r="D394" i="1"/>
  <c r="D393" i="1"/>
  <c r="E393" i="1"/>
  <c r="E392" i="1" s="1"/>
  <c r="F393" i="1"/>
  <c r="F392" i="1" s="1"/>
  <c r="G393" i="1"/>
  <c r="H393" i="1"/>
  <c r="H392" i="1" s="1"/>
  <c r="I393" i="1"/>
  <c r="J393" i="1"/>
  <c r="K393" i="1"/>
  <c r="L393" i="1"/>
  <c r="M393" i="1"/>
  <c r="N393" i="1"/>
  <c r="N392" i="1" s="1"/>
  <c r="C393" i="1"/>
  <c r="C392" i="1" s="1"/>
  <c r="B388" i="1"/>
  <c r="B379" i="1" s="1"/>
  <c r="C38" i="14" s="1"/>
  <c r="B385" i="1"/>
  <c r="K384" i="1"/>
  <c r="O384" i="1" s="1"/>
  <c r="P384" i="1" s="1"/>
  <c r="B363" i="1"/>
  <c r="C36" i="14" s="1"/>
  <c r="C18" i="23" s="1"/>
  <c r="I378" i="1"/>
  <c r="O378" i="1" s="1"/>
  <c r="O124" i="1"/>
  <c r="C38" i="20" s="1"/>
  <c r="H307" i="1"/>
  <c r="M312" i="1"/>
  <c r="M301" i="1" s="1"/>
  <c r="L284" i="1"/>
  <c r="I284" i="1"/>
  <c r="E284" i="1"/>
  <c r="D290" i="1"/>
  <c r="D289" i="1" s="1"/>
  <c r="E290" i="1"/>
  <c r="E289" i="1" s="1"/>
  <c r="F290" i="1"/>
  <c r="F289" i="1" s="1"/>
  <c r="G290" i="1"/>
  <c r="G289" i="1" s="1"/>
  <c r="H290" i="1"/>
  <c r="H289" i="1" s="1"/>
  <c r="I290" i="1"/>
  <c r="I289" i="1" s="1"/>
  <c r="J290" i="1"/>
  <c r="J289" i="1" s="1"/>
  <c r="K290" i="1"/>
  <c r="K289" i="1" s="1"/>
  <c r="L290" i="1"/>
  <c r="L289" i="1" s="1"/>
  <c r="M290" i="1"/>
  <c r="M289" i="1" s="1"/>
  <c r="N290" i="1"/>
  <c r="N289" i="1" s="1"/>
  <c r="C290" i="1"/>
  <c r="B301" i="1"/>
  <c r="P271" i="1"/>
  <c r="P245" i="1"/>
  <c r="B232" i="1"/>
  <c r="D189" i="1"/>
  <c r="E189" i="1"/>
  <c r="F189" i="1"/>
  <c r="G189" i="1"/>
  <c r="H189" i="1"/>
  <c r="I189" i="1"/>
  <c r="J189" i="1"/>
  <c r="K189" i="1"/>
  <c r="L189" i="1"/>
  <c r="M189" i="1"/>
  <c r="N189" i="1"/>
  <c r="C189" i="1"/>
  <c r="D199" i="1"/>
  <c r="E199" i="1"/>
  <c r="F199" i="1"/>
  <c r="G199" i="1"/>
  <c r="H199" i="1"/>
  <c r="I199" i="1"/>
  <c r="J199" i="1"/>
  <c r="K199" i="1"/>
  <c r="L199" i="1"/>
  <c r="M199" i="1"/>
  <c r="N199" i="1"/>
  <c r="C199" i="1"/>
  <c r="D196" i="1"/>
  <c r="E196" i="1"/>
  <c r="F196" i="1"/>
  <c r="G196" i="1"/>
  <c r="H196" i="1"/>
  <c r="I196" i="1"/>
  <c r="J196" i="1"/>
  <c r="K196" i="1"/>
  <c r="L196" i="1"/>
  <c r="M196" i="1"/>
  <c r="N196" i="1"/>
  <c r="C196" i="1"/>
  <c r="D193" i="1"/>
  <c r="E193" i="1"/>
  <c r="F193" i="1"/>
  <c r="G193" i="1"/>
  <c r="H193" i="1"/>
  <c r="I193" i="1"/>
  <c r="J193" i="1"/>
  <c r="K193" i="1"/>
  <c r="L193" i="1"/>
  <c r="M193" i="1"/>
  <c r="N193" i="1"/>
  <c r="D194" i="1"/>
  <c r="E194" i="1"/>
  <c r="F194" i="1"/>
  <c r="G194" i="1"/>
  <c r="H194" i="1"/>
  <c r="H186" i="1" s="1"/>
  <c r="I194" i="1"/>
  <c r="J194" i="1"/>
  <c r="K194" i="1"/>
  <c r="L194" i="1"/>
  <c r="M194" i="1"/>
  <c r="N194" i="1"/>
  <c r="C194" i="1"/>
  <c r="C193" i="1"/>
  <c r="B186" i="1"/>
  <c r="D187" i="1"/>
  <c r="E187" i="1"/>
  <c r="F187" i="1"/>
  <c r="G187" i="1"/>
  <c r="H187" i="1"/>
  <c r="I187" i="1"/>
  <c r="J187" i="1"/>
  <c r="K187" i="1"/>
  <c r="L187" i="1"/>
  <c r="M187" i="1"/>
  <c r="N187" i="1"/>
  <c r="C187" i="1"/>
  <c r="D195" i="1"/>
  <c r="E195" i="1"/>
  <c r="F195" i="1"/>
  <c r="G195" i="1"/>
  <c r="H195" i="1"/>
  <c r="I195" i="1"/>
  <c r="J195" i="1"/>
  <c r="K195" i="1"/>
  <c r="L195" i="1"/>
  <c r="M195" i="1"/>
  <c r="N195" i="1"/>
  <c r="C195" i="1"/>
  <c r="D198" i="1"/>
  <c r="E198" i="1"/>
  <c r="F198" i="1"/>
  <c r="G198" i="1"/>
  <c r="H198" i="1"/>
  <c r="I198" i="1"/>
  <c r="J198" i="1"/>
  <c r="K198" i="1"/>
  <c r="L198" i="1"/>
  <c r="M198" i="1"/>
  <c r="N198" i="1"/>
  <c r="C198" i="1"/>
  <c r="D191" i="1"/>
  <c r="E191" i="1"/>
  <c r="F191" i="1"/>
  <c r="F186" i="1" s="1"/>
  <c r="G191" i="1"/>
  <c r="H191" i="1"/>
  <c r="I191" i="1"/>
  <c r="J191" i="1"/>
  <c r="K191" i="1"/>
  <c r="L191" i="1"/>
  <c r="M191" i="1"/>
  <c r="N191" i="1"/>
  <c r="C191" i="1"/>
  <c r="D200" i="1"/>
  <c r="E200" i="1"/>
  <c r="F200" i="1"/>
  <c r="G200" i="1"/>
  <c r="H200" i="1"/>
  <c r="I200" i="1"/>
  <c r="J200" i="1"/>
  <c r="K200" i="1"/>
  <c r="L200" i="1"/>
  <c r="M200" i="1"/>
  <c r="N200" i="1"/>
  <c r="C200" i="1"/>
  <c r="B182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4" i="1"/>
  <c r="E184" i="1"/>
  <c r="F184" i="1"/>
  <c r="G184" i="1"/>
  <c r="G182" i="1" s="1"/>
  <c r="H184" i="1"/>
  <c r="I184" i="1"/>
  <c r="I182" i="1" s="1"/>
  <c r="J184" i="1"/>
  <c r="K184" i="1"/>
  <c r="L184" i="1"/>
  <c r="M184" i="1"/>
  <c r="N184" i="1"/>
  <c r="N182" i="1" s="1"/>
  <c r="C184" i="1"/>
  <c r="D183" i="1"/>
  <c r="D182" i="1" s="1"/>
  <c r="E183" i="1"/>
  <c r="F183" i="1"/>
  <c r="G183" i="1"/>
  <c r="H183" i="1"/>
  <c r="I183" i="1"/>
  <c r="J183" i="1"/>
  <c r="K183" i="1"/>
  <c r="L183" i="1"/>
  <c r="L182" i="1" s="1"/>
  <c r="M183" i="1"/>
  <c r="M182" i="1" s="1"/>
  <c r="N183" i="1"/>
  <c r="C183" i="1"/>
  <c r="B178" i="1"/>
  <c r="D179" i="1"/>
  <c r="E179" i="1"/>
  <c r="F179" i="1"/>
  <c r="G179" i="1"/>
  <c r="H179" i="1"/>
  <c r="I179" i="1"/>
  <c r="J179" i="1"/>
  <c r="K179" i="1"/>
  <c r="L179" i="1"/>
  <c r="M179" i="1"/>
  <c r="N179" i="1"/>
  <c r="D181" i="1"/>
  <c r="E181" i="1"/>
  <c r="F181" i="1"/>
  <c r="G181" i="1"/>
  <c r="H181" i="1"/>
  <c r="I181" i="1"/>
  <c r="J181" i="1"/>
  <c r="K181" i="1"/>
  <c r="L181" i="1"/>
  <c r="M181" i="1"/>
  <c r="N181" i="1"/>
  <c r="C181" i="1"/>
  <c r="C179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D175" i="1"/>
  <c r="E175" i="1"/>
  <c r="F175" i="1"/>
  <c r="G175" i="1"/>
  <c r="H175" i="1"/>
  <c r="I175" i="1"/>
  <c r="J175" i="1"/>
  <c r="K175" i="1"/>
  <c r="L175" i="1"/>
  <c r="M175" i="1"/>
  <c r="N175" i="1"/>
  <c r="D176" i="1"/>
  <c r="E176" i="1"/>
  <c r="F176" i="1"/>
  <c r="F170" i="1" s="1"/>
  <c r="G176" i="1"/>
  <c r="H176" i="1"/>
  <c r="I176" i="1"/>
  <c r="J176" i="1"/>
  <c r="K176" i="1"/>
  <c r="L176" i="1"/>
  <c r="M176" i="1"/>
  <c r="N176" i="1"/>
  <c r="N170" i="1" s="1"/>
  <c r="C176" i="1"/>
  <c r="C175" i="1"/>
  <c r="C174" i="1"/>
  <c r="C173" i="1"/>
  <c r="D171" i="1"/>
  <c r="E171" i="1"/>
  <c r="F171" i="1"/>
  <c r="G171" i="1"/>
  <c r="G170" i="1" s="1"/>
  <c r="H171" i="1"/>
  <c r="I171" i="1"/>
  <c r="J171" i="1"/>
  <c r="K171" i="1"/>
  <c r="L171" i="1"/>
  <c r="M171" i="1"/>
  <c r="N171" i="1"/>
  <c r="C171" i="1"/>
  <c r="B170" i="1"/>
  <c r="B166" i="1"/>
  <c r="B156" i="1" s="1"/>
  <c r="C31" i="14" s="1"/>
  <c r="B209" i="1"/>
  <c r="N143" i="1"/>
  <c r="O143" i="1" s="1"/>
  <c r="L139" i="1"/>
  <c r="I139" i="1"/>
  <c r="E139" i="1"/>
  <c r="B115" i="1"/>
  <c r="D127" i="1"/>
  <c r="E127" i="1"/>
  <c r="F127" i="1"/>
  <c r="G127" i="1"/>
  <c r="H127" i="1"/>
  <c r="I127" i="1"/>
  <c r="J127" i="1"/>
  <c r="J126" i="1" s="1"/>
  <c r="K127" i="1"/>
  <c r="L127" i="1"/>
  <c r="L126" i="1" s="1"/>
  <c r="M127" i="1"/>
  <c r="N127" i="1"/>
  <c r="C127" i="1"/>
  <c r="C132" i="1"/>
  <c r="O132" i="1" s="1"/>
  <c r="P132" i="1" s="1"/>
  <c r="D123" i="1"/>
  <c r="E123" i="1"/>
  <c r="F123" i="1"/>
  <c r="G123" i="1"/>
  <c r="H123" i="1"/>
  <c r="I123" i="1"/>
  <c r="J123" i="1"/>
  <c r="K123" i="1"/>
  <c r="L123" i="1"/>
  <c r="M123" i="1"/>
  <c r="N123" i="1"/>
  <c r="C123" i="1"/>
  <c r="D122" i="1"/>
  <c r="E122" i="1"/>
  <c r="F122" i="1"/>
  <c r="G122" i="1"/>
  <c r="H122" i="1"/>
  <c r="H121" i="1" s="1"/>
  <c r="I122" i="1"/>
  <c r="I121" i="1" s="1"/>
  <c r="J122" i="1"/>
  <c r="J121" i="1" s="1"/>
  <c r="K122" i="1"/>
  <c r="K121" i="1" s="1"/>
  <c r="L122" i="1"/>
  <c r="M122" i="1"/>
  <c r="N122" i="1"/>
  <c r="C122" i="1"/>
  <c r="D116" i="1"/>
  <c r="E116" i="1"/>
  <c r="E115" i="1" s="1"/>
  <c r="F116" i="1"/>
  <c r="G116" i="1"/>
  <c r="H116" i="1"/>
  <c r="I116" i="1"/>
  <c r="J116" i="1"/>
  <c r="K116" i="1"/>
  <c r="L116" i="1"/>
  <c r="M116" i="1"/>
  <c r="N116" i="1"/>
  <c r="D117" i="1"/>
  <c r="E117" i="1"/>
  <c r="F117" i="1"/>
  <c r="G117" i="1"/>
  <c r="H117" i="1"/>
  <c r="I117" i="1"/>
  <c r="J117" i="1"/>
  <c r="K117" i="1"/>
  <c r="L117" i="1"/>
  <c r="M117" i="1"/>
  <c r="N117" i="1"/>
  <c r="C117" i="1"/>
  <c r="D120" i="1"/>
  <c r="E120" i="1"/>
  <c r="F120" i="1"/>
  <c r="G120" i="1"/>
  <c r="H120" i="1"/>
  <c r="I120" i="1"/>
  <c r="J120" i="1"/>
  <c r="K120" i="1"/>
  <c r="L120" i="1"/>
  <c r="M120" i="1"/>
  <c r="N120" i="1"/>
  <c r="C120" i="1"/>
  <c r="E86" i="1"/>
  <c r="F86" i="1"/>
  <c r="G86" i="1"/>
  <c r="G85" i="1" s="1"/>
  <c r="H86" i="1"/>
  <c r="I86" i="1"/>
  <c r="I85" i="1" s="1"/>
  <c r="J86" i="1"/>
  <c r="J85" i="1" s="1"/>
  <c r="K86" i="1"/>
  <c r="L86" i="1"/>
  <c r="L85" i="1" s="1"/>
  <c r="M86" i="1"/>
  <c r="M85" i="1" s="1"/>
  <c r="N86" i="1"/>
  <c r="N85" i="1" s="1"/>
  <c r="D86" i="1"/>
  <c r="D85" i="1" s="1"/>
  <c r="C86" i="1"/>
  <c r="C85" i="1" s="1"/>
  <c r="O544" i="1"/>
  <c r="K546" i="1" s="1"/>
  <c r="N533" i="1"/>
  <c r="M533" i="1"/>
  <c r="L533" i="1"/>
  <c r="K533" i="1"/>
  <c r="J533" i="1"/>
  <c r="I533" i="1"/>
  <c r="H533" i="1"/>
  <c r="G533" i="1"/>
  <c r="F533" i="1"/>
  <c r="E533" i="1"/>
  <c r="D533" i="1"/>
  <c r="C533" i="1"/>
  <c r="O523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O518" i="1"/>
  <c r="O507" i="1"/>
  <c r="N506" i="1"/>
  <c r="M506" i="1"/>
  <c r="M512" i="1" s="1"/>
  <c r="L506" i="1"/>
  <c r="K506" i="1"/>
  <c r="J506" i="1"/>
  <c r="I506" i="1"/>
  <c r="H506" i="1"/>
  <c r="G506" i="1"/>
  <c r="F506" i="1"/>
  <c r="E506" i="1"/>
  <c r="E512" i="1" s="1"/>
  <c r="D506" i="1"/>
  <c r="C506" i="1"/>
  <c r="O502" i="1"/>
  <c r="I504" i="1" s="1"/>
  <c r="N476" i="1"/>
  <c r="M476" i="1"/>
  <c r="L476" i="1"/>
  <c r="K476" i="1"/>
  <c r="J476" i="1"/>
  <c r="I476" i="1"/>
  <c r="H476" i="1"/>
  <c r="G476" i="1"/>
  <c r="F476" i="1"/>
  <c r="E476" i="1"/>
  <c r="D476" i="1"/>
  <c r="R17" i="1"/>
  <c r="N464" i="1"/>
  <c r="M464" i="1"/>
  <c r="L464" i="1"/>
  <c r="K464" i="1"/>
  <c r="J464" i="1"/>
  <c r="I464" i="1"/>
  <c r="H464" i="1"/>
  <c r="G464" i="1"/>
  <c r="F464" i="1"/>
  <c r="D464" i="1"/>
  <c r="C464" i="1"/>
  <c r="R23" i="1"/>
  <c r="T23" i="1" s="1"/>
  <c r="R47" i="1"/>
  <c r="T47" i="1" s="1"/>
  <c r="R29" i="1"/>
  <c r="T29" i="1" s="1"/>
  <c r="R21" i="1"/>
  <c r="T21" i="1" s="1"/>
  <c r="B31" i="1"/>
  <c r="R31" i="1" s="1"/>
  <c r="I513" i="1"/>
  <c r="F546" i="1"/>
  <c r="K528" i="1"/>
  <c r="G528" i="1"/>
  <c r="O455" i="1"/>
  <c r="Q455" i="1"/>
  <c r="L454" i="1"/>
  <c r="K454" i="1"/>
  <c r="J454" i="1"/>
  <c r="I454" i="1"/>
  <c r="H454" i="1"/>
  <c r="G454" i="1"/>
  <c r="F454" i="1"/>
  <c r="E454" i="1"/>
  <c r="D454" i="1"/>
  <c r="N460" i="1"/>
  <c r="G137" i="1"/>
  <c r="G135" i="1" s="1"/>
  <c r="C24" i="24"/>
  <c r="C12" i="24"/>
  <c r="D18" i="23"/>
  <c r="B206" i="20"/>
  <c r="B205" i="20"/>
  <c r="B172" i="20"/>
  <c r="B96" i="20"/>
  <c r="B98" i="20"/>
  <c r="B81" i="20"/>
  <c r="B82" i="20"/>
  <c r="B80" i="20"/>
  <c r="O148" i="2"/>
  <c r="E46" i="2"/>
  <c r="E44" i="2" s="1"/>
  <c r="G46" i="2"/>
  <c r="G44" i="2" s="1"/>
  <c r="I46" i="2"/>
  <c r="I44" i="2" s="1"/>
  <c r="K46" i="2"/>
  <c r="M46" i="2"/>
  <c r="M44" i="2" s="1"/>
  <c r="O22" i="2"/>
  <c r="C283" i="20" s="1"/>
  <c r="P214" i="1"/>
  <c r="P256" i="1"/>
  <c r="O207" i="2"/>
  <c r="P207" i="2" s="1"/>
  <c r="F223" i="2"/>
  <c r="O223" i="2" s="1"/>
  <c r="C186" i="20" s="1"/>
  <c r="D216" i="2"/>
  <c r="E216" i="2"/>
  <c r="F216" i="2"/>
  <c r="G216" i="2"/>
  <c r="H216" i="2"/>
  <c r="I216" i="2"/>
  <c r="J216" i="2"/>
  <c r="K216" i="2"/>
  <c r="L216" i="2"/>
  <c r="M216" i="2"/>
  <c r="N216" i="2"/>
  <c r="C216" i="2"/>
  <c r="F200" i="2"/>
  <c r="D200" i="2"/>
  <c r="D199" i="2" s="1"/>
  <c r="O134" i="2"/>
  <c r="P134" i="2" s="1"/>
  <c r="K192" i="2"/>
  <c r="K191" i="2" s="1"/>
  <c r="F192" i="2"/>
  <c r="K159" i="2"/>
  <c r="H159" i="2"/>
  <c r="E159" i="2"/>
  <c r="O143" i="2"/>
  <c r="P143" i="2" s="1"/>
  <c r="N132" i="2"/>
  <c r="M132" i="2"/>
  <c r="L132" i="2"/>
  <c r="J132" i="2"/>
  <c r="I132" i="2"/>
  <c r="H132" i="2"/>
  <c r="G132" i="2"/>
  <c r="F132" i="2"/>
  <c r="E132" i="2"/>
  <c r="K146" i="2"/>
  <c r="K144" i="2" s="1"/>
  <c r="J152" i="2"/>
  <c r="J144" i="2" s="1"/>
  <c r="E152" i="2"/>
  <c r="O133" i="2"/>
  <c r="P133" i="2"/>
  <c r="K110" i="2"/>
  <c r="O110" i="2"/>
  <c r="P110" i="2" s="1"/>
  <c r="L89" i="2"/>
  <c r="I89" i="2"/>
  <c r="F89" i="2"/>
  <c r="K352" i="1"/>
  <c r="O352" i="1" s="1"/>
  <c r="C115" i="20" s="1"/>
  <c r="C344" i="1"/>
  <c r="F347" i="1"/>
  <c r="O347" i="1" s="1"/>
  <c r="C105" i="20" s="1"/>
  <c r="N339" i="1"/>
  <c r="N329" i="1" s="1"/>
  <c r="L339" i="1"/>
  <c r="L329" i="1" s="1"/>
  <c r="J339" i="1"/>
  <c r="F339" i="1"/>
  <c r="F329" i="1" s="1"/>
  <c r="D339" i="1"/>
  <c r="E329" i="1"/>
  <c r="J337" i="1"/>
  <c r="O337" i="1" s="1"/>
  <c r="P337" i="1" s="1"/>
  <c r="M329" i="1"/>
  <c r="L320" i="1"/>
  <c r="L316" i="1" s="1"/>
  <c r="H320" i="1"/>
  <c r="H316" i="1" s="1"/>
  <c r="D320" i="1"/>
  <c r="M328" i="1"/>
  <c r="M316" i="1" s="1"/>
  <c r="J328" i="1"/>
  <c r="G328" i="1"/>
  <c r="D328" i="1"/>
  <c r="F325" i="1"/>
  <c r="D202" i="1"/>
  <c r="E202" i="1"/>
  <c r="F202" i="1"/>
  <c r="G202" i="1"/>
  <c r="H202" i="1"/>
  <c r="I202" i="1"/>
  <c r="J202" i="1"/>
  <c r="K202" i="1"/>
  <c r="L202" i="1"/>
  <c r="M202" i="1"/>
  <c r="M201" i="1" s="1"/>
  <c r="N202" i="1"/>
  <c r="C202" i="1"/>
  <c r="E203" i="1"/>
  <c r="F203" i="1"/>
  <c r="G203" i="1"/>
  <c r="H203" i="1"/>
  <c r="I203" i="1"/>
  <c r="J203" i="1"/>
  <c r="K203" i="1"/>
  <c r="L203" i="1"/>
  <c r="L201" i="1" s="1"/>
  <c r="M203" i="1"/>
  <c r="N203" i="1"/>
  <c r="N201" i="1"/>
  <c r="D203" i="1"/>
  <c r="C203" i="1"/>
  <c r="H375" i="1"/>
  <c r="H370" i="1" s="1"/>
  <c r="H369" i="1" s="1"/>
  <c r="M304" i="1"/>
  <c r="I304" i="1"/>
  <c r="I301" i="1"/>
  <c r="G278" i="1"/>
  <c r="C244" i="20"/>
  <c r="E168" i="1"/>
  <c r="O168" i="1" s="1"/>
  <c r="C204" i="20" s="1"/>
  <c r="E166" i="1"/>
  <c r="H164" i="1"/>
  <c r="O164" i="1" s="1"/>
  <c r="C206" i="20" s="1"/>
  <c r="J147" i="1"/>
  <c r="O147" i="1" s="1"/>
  <c r="C111" i="1"/>
  <c r="E111" i="1"/>
  <c r="F111" i="1"/>
  <c r="G111" i="1"/>
  <c r="G110" i="1" s="1"/>
  <c r="G107" i="1" s="1"/>
  <c r="H111" i="1"/>
  <c r="I111" i="1"/>
  <c r="J111" i="1"/>
  <c r="J110" i="1" s="1"/>
  <c r="J107" i="1" s="1"/>
  <c r="K111" i="1"/>
  <c r="L111" i="1"/>
  <c r="M111" i="1"/>
  <c r="N111" i="1"/>
  <c r="N110" i="1" s="1"/>
  <c r="N107" i="1" s="1"/>
  <c r="D111" i="1"/>
  <c r="D49" i="1"/>
  <c r="E49" i="1"/>
  <c r="F49" i="1"/>
  <c r="G49" i="1"/>
  <c r="H49" i="1"/>
  <c r="I49" i="1"/>
  <c r="J49" i="1"/>
  <c r="K49" i="1"/>
  <c r="L49" i="1"/>
  <c r="M49" i="1"/>
  <c r="N49" i="1"/>
  <c r="C49" i="1"/>
  <c r="O50" i="1"/>
  <c r="O49" i="1"/>
  <c r="K57" i="1"/>
  <c r="O57" i="1" s="1"/>
  <c r="B20" i="14" s="1"/>
  <c r="B39" i="2"/>
  <c r="C15" i="15"/>
  <c r="B46" i="2"/>
  <c r="B44" i="2" s="1"/>
  <c r="C16" i="15" s="1"/>
  <c r="B26" i="2"/>
  <c r="C13" i="15" s="1"/>
  <c r="B15" i="2"/>
  <c r="C10" i="15" s="1"/>
  <c r="B11" i="2"/>
  <c r="C9" i="15" s="1"/>
  <c r="B49" i="1"/>
  <c r="C13" i="14" s="1"/>
  <c r="D13" i="14" s="1"/>
  <c r="E75" i="2"/>
  <c r="B197" i="20"/>
  <c r="B199" i="20"/>
  <c r="B200" i="20"/>
  <c r="B201" i="20"/>
  <c r="B203" i="20"/>
  <c r="B204" i="20"/>
  <c r="B207" i="20"/>
  <c r="B196" i="20"/>
  <c r="B174" i="20"/>
  <c r="B175" i="20"/>
  <c r="B176" i="20"/>
  <c r="B177" i="20"/>
  <c r="B179" i="20"/>
  <c r="B173" i="20"/>
  <c r="B163" i="20"/>
  <c r="B164" i="20"/>
  <c r="B165" i="20"/>
  <c r="B166" i="20"/>
  <c r="B167" i="20"/>
  <c r="B161" i="20"/>
  <c r="B108" i="20"/>
  <c r="B94" i="20"/>
  <c r="B95" i="20"/>
  <c r="B97" i="20"/>
  <c r="B99" i="20"/>
  <c r="B102" i="20"/>
  <c r="B105" i="20"/>
  <c r="B107" i="20"/>
  <c r="B79" i="20"/>
  <c r="B83" i="20"/>
  <c r="B84" i="20"/>
  <c r="B85" i="20"/>
  <c r="B87" i="20"/>
  <c r="B88" i="20"/>
  <c r="B89" i="20"/>
  <c r="B90" i="20"/>
  <c r="B91" i="20"/>
  <c r="B92" i="20"/>
  <c r="B93" i="20"/>
  <c r="B78" i="20"/>
  <c r="B68" i="20"/>
  <c r="B69" i="20"/>
  <c r="B70" i="20"/>
  <c r="B71" i="20"/>
  <c r="B72" i="20"/>
  <c r="B73" i="20"/>
  <c r="B74" i="20"/>
  <c r="B67" i="20"/>
  <c r="B55" i="20"/>
  <c r="B56" i="20"/>
  <c r="B57" i="20"/>
  <c r="B58" i="20"/>
  <c r="B60" i="20"/>
  <c r="B61" i="20"/>
  <c r="B54" i="20"/>
  <c r="B29" i="20"/>
  <c r="B30" i="20"/>
  <c r="B31" i="20"/>
  <c r="B33" i="20"/>
  <c r="B35" i="20"/>
  <c r="B36" i="20"/>
  <c r="B28" i="20"/>
  <c r="B5" i="20"/>
  <c r="C137" i="1"/>
  <c r="C135" i="1" s="1"/>
  <c r="O125" i="2"/>
  <c r="P125" i="2" s="1"/>
  <c r="O23" i="2"/>
  <c r="C284" i="20" s="1"/>
  <c r="N194" i="2"/>
  <c r="N193" i="2"/>
  <c r="M194" i="2"/>
  <c r="L194" i="2"/>
  <c r="L193" i="2" s="1"/>
  <c r="K194" i="2"/>
  <c r="J194" i="2"/>
  <c r="J193" i="2"/>
  <c r="I194" i="2"/>
  <c r="H194" i="2"/>
  <c r="H193" i="2" s="1"/>
  <c r="G194" i="2"/>
  <c r="F194" i="2"/>
  <c r="F193" i="2"/>
  <c r="E194" i="2"/>
  <c r="E193" i="2" s="1"/>
  <c r="D194" i="2"/>
  <c r="D193" i="2" s="1"/>
  <c r="C194" i="2"/>
  <c r="N121" i="2"/>
  <c r="N120" i="2" s="1"/>
  <c r="M121" i="2"/>
  <c r="M120" i="2" s="1"/>
  <c r="L121" i="2"/>
  <c r="L120" i="2"/>
  <c r="K121" i="2"/>
  <c r="K120" i="2"/>
  <c r="J121" i="2"/>
  <c r="J120" i="2"/>
  <c r="I121" i="2"/>
  <c r="I120" i="2" s="1"/>
  <c r="H121" i="2"/>
  <c r="H120" i="2"/>
  <c r="G121" i="2"/>
  <c r="G120" i="2"/>
  <c r="F121" i="2"/>
  <c r="F120" i="2" s="1"/>
  <c r="E121" i="2"/>
  <c r="D121" i="2"/>
  <c r="D120" i="2"/>
  <c r="C121" i="2"/>
  <c r="C120" i="2"/>
  <c r="N119" i="2"/>
  <c r="N117" i="2" s="1"/>
  <c r="M119" i="2"/>
  <c r="M117" i="2" s="1"/>
  <c r="L119" i="2"/>
  <c r="L117" i="2" s="1"/>
  <c r="K119" i="2"/>
  <c r="J119" i="2"/>
  <c r="I119" i="2"/>
  <c r="H119" i="2"/>
  <c r="G119" i="2"/>
  <c r="F119" i="2"/>
  <c r="E119" i="2"/>
  <c r="D119" i="2"/>
  <c r="C119" i="2"/>
  <c r="N118" i="2"/>
  <c r="M118" i="2"/>
  <c r="L118" i="2"/>
  <c r="K118" i="2"/>
  <c r="K117" i="2" s="1"/>
  <c r="J118" i="2"/>
  <c r="J117" i="2" s="1"/>
  <c r="I118" i="2"/>
  <c r="H118" i="2"/>
  <c r="H117" i="2" s="1"/>
  <c r="G118" i="2"/>
  <c r="F118" i="2"/>
  <c r="E118" i="2"/>
  <c r="D118" i="2"/>
  <c r="C118" i="2"/>
  <c r="L113" i="2"/>
  <c r="J113" i="2"/>
  <c r="F113" i="2"/>
  <c r="D113" i="2"/>
  <c r="N104" i="2"/>
  <c r="N96" i="2" s="1"/>
  <c r="M104" i="2"/>
  <c r="M96" i="2" s="1"/>
  <c r="L104" i="2"/>
  <c r="L96" i="2" s="1"/>
  <c r="K104" i="2"/>
  <c r="K96" i="2" s="1"/>
  <c r="J104" i="2"/>
  <c r="J96" i="2" s="1"/>
  <c r="I104" i="2"/>
  <c r="I96" i="2" s="1"/>
  <c r="H104" i="2"/>
  <c r="H96" i="2" s="1"/>
  <c r="G104" i="2"/>
  <c r="G96" i="2" s="1"/>
  <c r="F104" i="2"/>
  <c r="F96" i="2" s="1"/>
  <c r="E104" i="2"/>
  <c r="E96" i="2" s="1"/>
  <c r="D104" i="2"/>
  <c r="D96" i="2" s="1"/>
  <c r="C104" i="2"/>
  <c r="N89" i="2"/>
  <c r="J89" i="2"/>
  <c r="G89" i="2"/>
  <c r="C34" i="2"/>
  <c r="F30" i="2"/>
  <c r="F29" i="2" s="1"/>
  <c r="J385" i="1"/>
  <c r="H385" i="1"/>
  <c r="N380" i="1"/>
  <c r="K380" i="1"/>
  <c r="J380" i="1"/>
  <c r="I380" i="1"/>
  <c r="F380" i="1"/>
  <c r="E380" i="1"/>
  <c r="C380" i="1"/>
  <c r="I316" i="1"/>
  <c r="N292" i="1"/>
  <c r="J292" i="1"/>
  <c r="G292" i="1"/>
  <c r="N137" i="1"/>
  <c r="N135" i="1" s="1"/>
  <c r="K137" i="1"/>
  <c r="I137" i="1"/>
  <c r="O146" i="1"/>
  <c r="C140" i="20" s="1"/>
  <c r="N166" i="1"/>
  <c r="M166" i="1"/>
  <c r="L166" i="1"/>
  <c r="K166" i="1"/>
  <c r="J166" i="1"/>
  <c r="I166" i="1"/>
  <c r="H166" i="1"/>
  <c r="G166" i="1"/>
  <c r="D166" i="1"/>
  <c r="N209" i="1"/>
  <c r="M209" i="1"/>
  <c r="K209" i="1"/>
  <c r="J209" i="1"/>
  <c r="I209" i="1"/>
  <c r="G209" i="1"/>
  <c r="P216" i="1"/>
  <c r="H209" i="1"/>
  <c r="B55" i="1"/>
  <c r="O128" i="2"/>
  <c r="P128" i="2" s="1"/>
  <c r="O171" i="2"/>
  <c r="F39" i="2"/>
  <c r="O77" i="2"/>
  <c r="B59" i="7" s="1"/>
  <c r="C155" i="20" s="1"/>
  <c r="P378" i="1"/>
  <c r="C316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N404" i="1"/>
  <c r="M404" i="1"/>
  <c r="L404" i="1"/>
  <c r="K404" i="1"/>
  <c r="J404" i="1"/>
  <c r="I404" i="1"/>
  <c r="H404" i="1"/>
  <c r="G404" i="1"/>
  <c r="L392" i="1"/>
  <c r="J392" i="1"/>
  <c r="M383" i="1"/>
  <c r="J355" i="1"/>
  <c r="O355" i="1" s="1"/>
  <c r="P355" i="1" s="1"/>
  <c r="C14" i="23"/>
  <c r="N316" i="1"/>
  <c r="C292" i="1"/>
  <c r="N163" i="1"/>
  <c r="M163" i="1"/>
  <c r="L163" i="1"/>
  <c r="K163" i="1"/>
  <c r="K156" i="1"/>
  <c r="J163" i="1"/>
  <c r="J156" i="1" s="1"/>
  <c r="I163" i="1"/>
  <c r="H163" i="1"/>
  <c r="G163" i="1"/>
  <c r="G156" i="1" s="1"/>
  <c r="F163" i="1"/>
  <c r="E163" i="1"/>
  <c r="D163" i="1"/>
  <c r="D156" i="1" s="1"/>
  <c r="C163" i="1"/>
  <c r="D137" i="1"/>
  <c r="D135" i="1" s="1"/>
  <c r="H137" i="1"/>
  <c r="C81" i="2"/>
  <c r="O81" i="2" s="1"/>
  <c r="N162" i="2"/>
  <c r="K162" i="2"/>
  <c r="H162" i="2"/>
  <c r="G162" i="2"/>
  <c r="D162" i="2"/>
  <c r="N160" i="2"/>
  <c r="L160" i="2"/>
  <c r="L156" i="2" s="1"/>
  <c r="K160" i="2"/>
  <c r="J160" i="2"/>
  <c r="H160" i="2"/>
  <c r="G160" i="2"/>
  <c r="G156" i="2" s="1"/>
  <c r="G155" i="2" s="1"/>
  <c r="F160" i="2"/>
  <c r="D160" i="2"/>
  <c r="D156" i="2" s="1"/>
  <c r="C160" i="2"/>
  <c r="C99" i="2"/>
  <c r="O99" i="2"/>
  <c r="P99" i="2" s="1"/>
  <c r="F75" i="2"/>
  <c r="D75" i="2"/>
  <c r="C75" i="2"/>
  <c r="N178" i="2"/>
  <c r="C178" i="2"/>
  <c r="N170" i="2"/>
  <c r="M170" i="2"/>
  <c r="L170" i="2"/>
  <c r="K170" i="2"/>
  <c r="J170" i="2"/>
  <c r="C170" i="2"/>
  <c r="O145" i="2"/>
  <c r="N144" i="2"/>
  <c r="L144" i="2"/>
  <c r="H144" i="2"/>
  <c r="G144" i="2"/>
  <c r="F144" i="2"/>
  <c r="D144" i="2"/>
  <c r="C144" i="2"/>
  <c r="M89" i="2"/>
  <c r="D89" i="2"/>
  <c r="N126" i="2"/>
  <c r="N124" i="2"/>
  <c r="M126" i="2"/>
  <c r="M124" i="2" s="1"/>
  <c r="L126" i="2"/>
  <c r="C13" i="20"/>
  <c r="N313" i="1"/>
  <c r="M313" i="1"/>
  <c r="L313" i="1"/>
  <c r="J313" i="1"/>
  <c r="H313" i="1"/>
  <c r="G313" i="1"/>
  <c r="E313" i="1"/>
  <c r="D313" i="1"/>
  <c r="C313" i="1"/>
  <c r="N275" i="1"/>
  <c r="M275" i="1"/>
  <c r="K275" i="1"/>
  <c r="J275" i="1"/>
  <c r="H275" i="1"/>
  <c r="F275" i="1"/>
  <c r="D275" i="1"/>
  <c r="N191" i="2"/>
  <c r="M191" i="2"/>
  <c r="L191" i="2"/>
  <c r="J191" i="2"/>
  <c r="I191" i="2"/>
  <c r="H191" i="2"/>
  <c r="G191" i="2"/>
  <c r="E191" i="2"/>
  <c r="D191" i="2"/>
  <c r="O203" i="2"/>
  <c r="P203" i="2" s="1"/>
  <c r="N188" i="2"/>
  <c r="N187" i="2" s="1"/>
  <c r="M188" i="2"/>
  <c r="M187" i="2" s="1"/>
  <c r="L188" i="2"/>
  <c r="L187" i="2" s="1"/>
  <c r="K188" i="2"/>
  <c r="K187" i="2" s="1"/>
  <c r="J188" i="2"/>
  <c r="J187" i="2" s="1"/>
  <c r="I188" i="2"/>
  <c r="I187" i="2" s="1"/>
  <c r="H188" i="2"/>
  <c r="H187" i="2" s="1"/>
  <c r="G188" i="2"/>
  <c r="G187" i="2" s="1"/>
  <c r="F188" i="2"/>
  <c r="F187" i="2" s="1"/>
  <c r="E188" i="2"/>
  <c r="E187" i="2" s="1"/>
  <c r="D188" i="2"/>
  <c r="D187" i="2" s="1"/>
  <c r="O189" i="2"/>
  <c r="O188" i="2" s="1"/>
  <c r="N157" i="2"/>
  <c r="M157" i="2"/>
  <c r="J157" i="2"/>
  <c r="I157" i="2"/>
  <c r="F157" i="2"/>
  <c r="C157" i="2"/>
  <c r="O45" i="2"/>
  <c r="O40" i="2"/>
  <c r="B24" i="7" s="1"/>
  <c r="B23" i="7" s="1"/>
  <c r="P40" i="2"/>
  <c r="O37" i="2"/>
  <c r="B21" i="7" s="1"/>
  <c r="O18" i="2"/>
  <c r="C280" i="20" s="1"/>
  <c r="O10" i="2"/>
  <c r="B8" i="12" s="1"/>
  <c r="M181" i="2"/>
  <c r="M178" i="2" s="1"/>
  <c r="M169" i="2" s="1"/>
  <c r="L181" i="2"/>
  <c r="L178" i="2" s="1"/>
  <c r="L169" i="2" s="1"/>
  <c r="K181" i="2"/>
  <c r="K178" i="2" s="1"/>
  <c r="K169" i="2" s="1"/>
  <c r="J181" i="2"/>
  <c r="J178" i="2" s="1"/>
  <c r="J169" i="2" s="1"/>
  <c r="I181" i="2"/>
  <c r="I178" i="2" s="1"/>
  <c r="H181" i="2"/>
  <c r="H178" i="2" s="1"/>
  <c r="H169" i="2" s="1"/>
  <c r="G181" i="2"/>
  <c r="G178" i="2" s="1"/>
  <c r="F181" i="2"/>
  <c r="F178" i="2" s="1"/>
  <c r="E181" i="2"/>
  <c r="E178" i="2" s="1"/>
  <c r="D181" i="2"/>
  <c r="I170" i="2"/>
  <c r="H170" i="2"/>
  <c r="F170" i="2"/>
  <c r="E170" i="2"/>
  <c r="C103" i="2"/>
  <c r="O103" i="2" s="1"/>
  <c r="P103" i="2" s="1"/>
  <c r="C102" i="2"/>
  <c r="O102" i="2"/>
  <c r="P102" i="2" s="1"/>
  <c r="C101" i="2"/>
  <c r="O101" i="2" s="1"/>
  <c r="C100" i="2"/>
  <c r="O100" i="2" s="1"/>
  <c r="C98" i="2"/>
  <c r="O98" i="2" s="1"/>
  <c r="C97" i="2"/>
  <c r="O97" i="2" s="1"/>
  <c r="P97" i="2" s="1"/>
  <c r="H382" i="1"/>
  <c r="G380" i="1"/>
  <c r="P371" i="1"/>
  <c r="I329" i="1"/>
  <c r="P377" i="1"/>
  <c r="D302" i="1"/>
  <c r="O302" i="1" s="1"/>
  <c r="C262" i="20" s="1"/>
  <c r="L301" i="1"/>
  <c r="G301" i="1"/>
  <c r="C275" i="1"/>
  <c r="C165" i="1"/>
  <c r="O165" i="1" s="1"/>
  <c r="P165" i="1" s="1"/>
  <c r="C167" i="1"/>
  <c r="O167" i="1" s="1"/>
  <c r="C203" i="20" s="1"/>
  <c r="C162" i="1"/>
  <c r="O162" i="1" s="1"/>
  <c r="P162" i="1" s="1"/>
  <c r="C161" i="1"/>
  <c r="O161" i="1" s="1"/>
  <c r="C200" i="20" s="1"/>
  <c r="C160" i="1"/>
  <c r="O160" i="1" s="1"/>
  <c r="C199" i="20" s="1"/>
  <c r="C159" i="1"/>
  <c r="O159" i="1" s="1"/>
  <c r="C157" i="1"/>
  <c r="O157" i="1" s="1"/>
  <c r="C137" i="20"/>
  <c r="C108" i="1"/>
  <c r="O108" i="1" s="1"/>
  <c r="N213" i="2"/>
  <c r="L213" i="2"/>
  <c r="O213" i="2" s="1"/>
  <c r="B121" i="7" s="1"/>
  <c r="C178" i="20" s="1"/>
  <c r="J213" i="2"/>
  <c r="H213" i="2"/>
  <c r="F213" i="2"/>
  <c r="D213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N199" i="2"/>
  <c r="M199" i="2"/>
  <c r="L199" i="2"/>
  <c r="K199" i="2"/>
  <c r="J199" i="2"/>
  <c r="I199" i="2"/>
  <c r="H199" i="2"/>
  <c r="G199" i="2"/>
  <c r="E199" i="2"/>
  <c r="N198" i="2"/>
  <c r="N196" i="2"/>
  <c r="M198" i="2"/>
  <c r="M196" i="2"/>
  <c r="L198" i="2"/>
  <c r="L196" i="2" s="1"/>
  <c r="K196" i="2"/>
  <c r="J198" i="2"/>
  <c r="J196" i="2" s="1"/>
  <c r="I198" i="2"/>
  <c r="I196" i="2"/>
  <c r="H198" i="2"/>
  <c r="H196" i="2" s="1"/>
  <c r="G198" i="2"/>
  <c r="G196" i="2" s="1"/>
  <c r="F198" i="2"/>
  <c r="F196" i="2" s="1"/>
  <c r="E198" i="2"/>
  <c r="E196" i="2" s="1"/>
  <c r="D198" i="2"/>
  <c r="C198" i="2"/>
  <c r="C191" i="2"/>
  <c r="C188" i="2"/>
  <c r="C187" i="2"/>
  <c r="L162" i="2"/>
  <c r="I161" i="2"/>
  <c r="K158" i="2"/>
  <c r="K156" i="2" s="1"/>
  <c r="K155" i="2" s="1"/>
  <c r="H158" i="2"/>
  <c r="H156" i="2" s="1"/>
  <c r="H155" i="2" s="1"/>
  <c r="E158" i="2"/>
  <c r="L154" i="2"/>
  <c r="L153" i="2" s="1"/>
  <c r="I154" i="2"/>
  <c r="I153" i="2" s="1"/>
  <c r="G154" i="2"/>
  <c r="G153" i="2" s="1"/>
  <c r="E154" i="2"/>
  <c r="E153" i="2" s="1"/>
  <c r="C154" i="2"/>
  <c r="C153" i="2" s="1"/>
  <c r="N153" i="2"/>
  <c r="M153" i="2"/>
  <c r="K153" i="2"/>
  <c r="J153" i="2"/>
  <c r="H153" i="2"/>
  <c r="F153" i="2"/>
  <c r="D153" i="2"/>
  <c r="K131" i="2"/>
  <c r="H131" i="2"/>
  <c r="E131" i="2"/>
  <c r="K126" i="2"/>
  <c r="K124" i="2" s="1"/>
  <c r="J126" i="2"/>
  <c r="J124" i="2" s="1"/>
  <c r="I126" i="2"/>
  <c r="H126" i="2"/>
  <c r="G126" i="2"/>
  <c r="G124" i="2" s="1"/>
  <c r="F126" i="2"/>
  <c r="F124" i="2" s="1"/>
  <c r="E126" i="2"/>
  <c r="E124" i="2" s="1"/>
  <c r="D126" i="2"/>
  <c r="C126" i="2"/>
  <c r="M122" i="2"/>
  <c r="K122" i="2"/>
  <c r="I122" i="2"/>
  <c r="G122" i="2"/>
  <c r="E122" i="2"/>
  <c r="C122" i="2"/>
  <c r="F92" i="2"/>
  <c r="F88" i="2" s="1"/>
  <c r="G92" i="2"/>
  <c r="J92" i="2"/>
  <c r="I92" i="2"/>
  <c r="E92" i="2"/>
  <c r="O87" i="2"/>
  <c r="N84" i="2"/>
  <c r="M84" i="2"/>
  <c r="J84" i="2"/>
  <c r="I84" i="2"/>
  <c r="H84" i="2"/>
  <c r="G84" i="2"/>
  <c r="E84" i="2"/>
  <c r="D84" i="2"/>
  <c r="N49" i="2"/>
  <c r="N46" i="2" s="1"/>
  <c r="N44" i="2" s="1"/>
  <c r="L49" i="2"/>
  <c r="L46" i="2" s="1"/>
  <c r="L44" i="2" s="1"/>
  <c r="J49" i="2"/>
  <c r="J46" i="2" s="1"/>
  <c r="J44" i="2" s="1"/>
  <c r="H49" i="2"/>
  <c r="H46" i="2"/>
  <c r="H44" i="2" s="1"/>
  <c r="F49" i="2"/>
  <c r="D49" i="2"/>
  <c r="D46" i="2"/>
  <c r="N39" i="2"/>
  <c r="M39" i="2"/>
  <c r="L39" i="2"/>
  <c r="K39" i="2"/>
  <c r="I39" i="2"/>
  <c r="H39" i="2"/>
  <c r="J39" i="2"/>
  <c r="G39" i="2"/>
  <c r="E39" i="2"/>
  <c r="D39" i="2"/>
  <c r="O36" i="2"/>
  <c r="P36" i="2"/>
  <c r="C199" i="2"/>
  <c r="O20" i="2"/>
  <c r="C39" i="2"/>
  <c r="F162" i="2"/>
  <c r="N397" i="1"/>
  <c r="M397" i="1"/>
  <c r="L397" i="1"/>
  <c r="K397" i="1"/>
  <c r="J397" i="1"/>
  <c r="I397" i="1"/>
  <c r="H397" i="1"/>
  <c r="G397" i="1"/>
  <c r="F397" i="1"/>
  <c r="E397" i="1"/>
  <c r="D397" i="1"/>
  <c r="C397" i="1"/>
  <c r="D392" i="1"/>
  <c r="N391" i="1"/>
  <c r="M391" i="1"/>
  <c r="L391" i="1"/>
  <c r="K391" i="1"/>
  <c r="K388" i="1" s="1"/>
  <c r="J391" i="1"/>
  <c r="J388" i="1" s="1"/>
  <c r="I391" i="1"/>
  <c r="H391" i="1"/>
  <c r="G391" i="1"/>
  <c r="G388" i="1" s="1"/>
  <c r="F391" i="1"/>
  <c r="F388" i="1" s="1"/>
  <c r="E391" i="1"/>
  <c r="D391" i="1"/>
  <c r="C391" i="1"/>
  <c r="J336" i="1"/>
  <c r="O336" i="1" s="1"/>
  <c r="J334" i="1"/>
  <c r="O334" i="1" s="1"/>
  <c r="C93" i="20" s="1"/>
  <c r="F313" i="1"/>
  <c r="I313" i="1"/>
  <c r="E311" i="1"/>
  <c r="O311" i="1" s="1"/>
  <c r="C271" i="20" s="1"/>
  <c r="H298" i="1"/>
  <c r="O298" i="1" s="1"/>
  <c r="C258" i="20" s="1"/>
  <c r="L275" i="1"/>
  <c r="I275" i="1"/>
  <c r="G275" i="1"/>
  <c r="E276" i="1"/>
  <c r="E182" i="1"/>
  <c r="N178" i="1"/>
  <c r="M178" i="1"/>
  <c r="J178" i="1"/>
  <c r="I178" i="1"/>
  <c r="E161" i="2"/>
  <c r="M161" i="2"/>
  <c r="G170" i="2"/>
  <c r="O215" i="2"/>
  <c r="C263" i="20"/>
  <c r="F166" i="1"/>
  <c r="F156" i="1" s="1"/>
  <c r="O185" i="2"/>
  <c r="O184" i="2"/>
  <c r="K375" i="1"/>
  <c r="K370" i="1" s="1"/>
  <c r="P303" i="1"/>
  <c r="C6" i="15"/>
  <c r="P225" i="2"/>
  <c r="P85" i="2"/>
  <c r="B71" i="7"/>
  <c r="P59" i="1"/>
  <c r="F156" i="2"/>
  <c r="F155" i="2" s="1"/>
  <c r="P223" i="2"/>
  <c r="J156" i="2"/>
  <c r="N156" i="2"/>
  <c r="N155" i="2" s="1"/>
  <c r="I124" i="2"/>
  <c r="P77" i="2"/>
  <c r="L88" i="2"/>
  <c r="I193" i="2"/>
  <c r="N11" i="2"/>
  <c r="J11" i="2"/>
  <c r="F11" i="2"/>
  <c r="K214" i="2"/>
  <c r="M88" i="2"/>
  <c r="G214" i="2"/>
  <c r="O192" i="2"/>
  <c r="O191" i="2" s="1"/>
  <c r="M214" i="2"/>
  <c r="I117" i="2"/>
  <c r="O115" i="2"/>
  <c r="P115" i="2" s="1"/>
  <c r="L122" i="2"/>
  <c r="G193" i="2"/>
  <c r="O129" i="2"/>
  <c r="P129" i="2" s="1"/>
  <c r="O174" i="2"/>
  <c r="P10" i="2"/>
  <c r="D122" i="2"/>
  <c r="K229" i="2"/>
  <c r="K228" i="2" s="1"/>
  <c r="I214" i="2"/>
  <c r="G30" i="2"/>
  <c r="O31" i="2"/>
  <c r="P31" i="2" s="1"/>
  <c r="J30" i="2"/>
  <c r="J29" i="2" s="1"/>
  <c r="L11" i="2"/>
  <c r="H11" i="2"/>
  <c r="M11" i="2"/>
  <c r="I11" i="2"/>
  <c r="E11" i="2"/>
  <c r="C11" i="2"/>
  <c r="K11" i="2"/>
  <c r="G11" i="2"/>
  <c r="H122" i="2"/>
  <c r="N88" i="2"/>
  <c r="K202" i="2"/>
  <c r="D30" i="2"/>
  <c r="D29" i="2"/>
  <c r="O164" i="2"/>
  <c r="N202" i="2"/>
  <c r="O114" i="2"/>
  <c r="P114" i="2" s="1"/>
  <c r="O205" i="2"/>
  <c r="P205" i="2" s="1"/>
  <c r="J122" i="2"/>
  <c r="H124" i="2"/>
  <c r="O130" i="2"/>
  <c r="P130" i="2" s="1"/>
  <c r="N122" i="2"/>
  <c r="E160" i="2"/>
  <c r="I162" i="2"/>
  <c r="O168" i="2"/>
  <c r="P168" i="2"/>
  <c r="H30" i="2"/>
  <c r="L30" i="2"/>
  <c r="J214" i="2"/>
  <c r="O111" i="2"/>
  <c r="P111" i="2"/>
  <c r="F229" i="2"/>
  <c r="F228" i="2" s="1"/>
  <c r="N30" i="2"/>
  <c r="O161" i="2"/>
  <c r="M229" i="2"/>
  <c r="M228" i="2" s="1"/>
  <c r="J88" i="2"/>
  <c r="O232" i="2"/>
  <c r="O233" i="2"/>
  <c r="O32" i="2"/>
  <c r="P32" i="2"/>
  <c r="O113" i="2"/>
  <c r="P113" i="2"/>
  <c r="K193" i="2"/>
  <c r="B8" i="2"/>
  <c r="O154" i="2"/>
  <c r="D170" i="2"/>
  <c r="C106" i="2"/>
  <c r="K106" i="2"/>
  <c r="F191" i="2"/>
  <c r="O206" i="2"/>
  <c r="P206" i="2" s="1"/>
  <c r="J202" i="2"/>
  <c r="O146" i="2"/>
  <c r="P146" i="2" s="1"/>
  <c r="I30" i="2"/>
  <c r="O35" i="2"/>
  <c r="O34" i="2"/>
  <c r="M193" i="2"/>
  <c r="N106" i="2"/>
  <c r="F106" i="2"/>
  <c r="E30" i="2"/>
  <c r="M30" i="2"/>
  <c r="M29" i="2" s="1"/>
  <c r="O16" i="2"/>
  <c r="C278" i="20" s="1"/>
  <c r="F122" i="2"/>
  <c r="I160" i="2"/>
  <c r="I156" i="2" s="1"/>
  <c r="I155" i="2" s="1"/>
  <c r="N169" i="2"/>
  <c r="O201" i="2"/>
  <c r="P201" i="2" s="1"/>
  <c r="O39" i="2"/>
  <c r="P39" i="2" s="1"/>
  <c r="O227" i="2"/>
  <c r="O177" i="2"/>
  <c r="P177" i="2" s="1"/>
  <c r="N214" i="2"/>
  <c r="C92" i="2"/>
  <c r="C30" i="2"/>
  <c r="C29" i="2" s="1"/>
  <c r="K30" i="2"/>
  <c r="G88" i="2"/>
  <c r="H229" i="2"/>
  <c r="H228" i="2" s="1"/>
  <c r="C183" i="2"/>
  <c r="D229" i="2"/>
  <c r="D228" i="2" s="1"/>
  <c r="L214" i="2"/>
  <c r="H214" i="2"/>
  <c r="P197" i="2"/>
  <c r="J106" i="2"/>
  <c r="C124" i="2"/>
  <c r="M162" i="2"/>
  <c r="P195" i="2"/>
  <c r="O108" i="2"/>
  <c r="P108" i="2" s="1"/>
  <c r="D106" i="2"/>
  <c r="O127" i="2"/>
  <c r="P127" i="2" s="1"/>
  <c r="I88" i="2"/>
  <c r="D11" i="2"/>
  <c r="O12" i="2"/>
  <c r="P12" i="2" s="1"/>
  <c r="O86" i="2"/>
  <c r="P86" i="2"/>
  <c r="O91" i="2"/>
  <c r="O230" i="2"/>
  <c r="O95" i="2"/>
  <c r="O107" i="2"/>
  <c r="C196" i="2"/>
  <c r="O109" i="2"/>
  <c r="P109" i="2"/>
  <c r="O93" i="2"/>
  <c r="P93" i="2" s="1"/>
  <c r="C89" i="2"/>
  <c r="C88" i="2" s="1"/>
  <c r="H106" i="2"/>
  <c r="O152" i="2"/>
  <c r="P152" i="2"/>
  <c r="D214" i="2"/>
  <c r="M160" i="2"/>
  <c r="M156" i="2" s="1"/>
  <c r="M155" i="2" s="1"/>
  <c r="O104" i="2"/>
  <c r="P104" i="2" s="1"/>
  <c r="O159" i="2"/>
  <c r="P159" i="2" s="1"/>
  <c r="M106" i="2"/>
  <c r="D124" i="2"/>
  <c r="C162" i="2"/>
  <c r="O163" i="2"/>
  <c r="P163" i="2" s="1"/>
  <c r="L124" i="2"/>
  <c r="F85" i="1"/>
  <c r="C97" i="20"/>
  <c r="B100" i="6"/>
  <c r="C121" i="20"/>
  <c r="C201" i="20"/>
  <c r="F178" i="1"/>
  <c r="F301" i="1"/>
  <c r="B67" i="6"/>
  <c r="H348" i="1"/>
  <c r="K443" i="1"/>
  <c r="K442" i="1" s="1"/>
  <c r="C443" i="1"/>
  <c r="C442" i="1" s="1"/>
  <c r="L137" i="1"/>
  <c r="M344" i="1"/>
  <c r="E363" i="1"/>
  <c r="M348" i="1"/>
  <c r="N232" i="1"/>
  <c r="J301" i="1"/>
  <c r="J277" i="1" s="1"/>
  <c r="M232" i="1"/>
  <c r="O314" i="1"/>
  <c r="C274" i="20" s="1"/>
  <c r="K115" i="1"/>
  <c r="D443" i="1"/>
  <c r="D442" i="1" s="1"/>
  <c r="H443" i="1"/>
  <c r="H442" i="1" s="1"/>
  <c r="L443" i="1"/>
  <c r="L442" i="1" s="1"/>
  <c r="J443" i="1"/>
  <c r="J442" i="1" s="1"/>
  <c r="N443" i="1"/>
  <c r="N442" i="1" s="1"/>
  <c r="G316" i="1"/>
  <c r="I115" i="1"/>
  <c r="M115" i="1"/>
  <c r="C81" i="20"/>
  <c r="N348" i="1"/>
  <c r="F348" i="1"/>
  <c r="C385" i="1"/>
  <c r="K385" i="1"/>
  <c r="C260" i="20"/>
  <c r="P425" i="1"/>
  <c r="E443" i="1"/>
  <c r="E442" i="1" s="1"/>
  <c r="C152" i="1"/>
  <c r="N301" i="1"/>
  <c r="G232" i="1"/>
  <c r="C363" i="1"/>
  <c r="F115" i="1"/>
  <c r="E348" i="1"/>
  <c r="M443" i="1"/>
  <c r="M442" i="1" s="1"/>
  <c r="F209" i="1"/>
  <c r="F292" i="1"/>
  <c r="K313" i="1"/>
  <c r="I344" i="1"/>
  <c r="L380" i="1"/>
  <c r="K232" i="1"/>
  <c r="E178" i="1"/>
  <c r="D186" i="1"/>
  <c r="E301" i="1"/>
  <c r="C266" i="20"/>
  <c r="L186" i="1"/>
  <c r="I443" i="1"/>
  <c r="I442" i="1" s="1"/>
  <c r="E209" i="1"/>
  <c r="I232" i="1"/>
  <c r="J182" i="1"/>
  <c r="C182" i="1"/>
  <c r="K182" i="1"/>
  <c r="J232" i="1"/>
  <c r="P206" i="1"/>
  <c r="G201" i="1"/>
  <c r="J344" i="1"/>
  <c r="C117" i="20"/>
  <c r="J348" i="1"/>
  <c r="N115" i="1"/>
  <c r="F182" i="1"/>
  <c r="E385" i="1"/>
  <c r="M385" i="1"/>
  <c r="I385" i="1"/>
  <c r="N388" i="1"/>
  <c r="G344" i="1"/>
  <c r="C232" i="1"/>
  <c r="E316" i="1"/>
  <c r="F443" i="1"/>
  <c r="F442" i="1"/>
  <c r="P240" i="1"/>
  <c r="F344" i="1"/>
  <c r="C209" i="1"/>
  <c r="D301" i="1"/>
  <c r="J316" i="1"/>
  <c r="J137" i="1"/>
  <c r="K344" i="1"/>
  <c r="M137" i="1"/>
  <c r="M135" i="1" s="1"/>
  <c r="K301" i="1"/>
  <c r="C301" i="1"/>
  <c r="L375" i="1"/>
  <c r="M375" i="1" s="1"/>
  <c r="M370" i="1" s="1"/>
  <c r="M369" i="1" s="1"/>
  <c r="K369" i="1"/>
  <c r="P314" i="1"/>
  <c r="P306" i="1"/>
  <c r="P233" i="2"/>
  <c r="D14" i="18"/>
  <c r="H105" i="2"/>
  <c r="C212" i="20"/>
  <c r="P217" i="2"/>
  <c r="I105" i="2"/>
  <c r="C214" i="20"/>
  <c r="B128" i="7"/>
  <c r="P141" i="1"/>
  <c r="C135" i="20"/>
  <c r="P349" i="1"/>
  <c r="C108" i="20"/>
  <c r="P232" i="2"/>
  <c r="B115" i="7"/>
  <c r="C172" i="20" s="1"/>
  <c r="B119" i="7"/>
  <c r="C176" i="20" s="1"/>
  <c r="O170" i="2"/>
  <c r="B101" i="7"/>
  <c r="P174" i="2"/>
  <c r="B82" i="7"/>
  <c r="B81" i="7"/>
  <c r="P95" i="2"/>
  <c r="H29" i="2"/>
  <c r="G29" i="2"/>
  <c r="E29" i="2"/>
  <c r="K29" i="2"/>
  <c r="I29" i="2"/>
  <c r="N29" i="2"/>
  <c r="L29" i="2"/>
  <c r="P35" i="2"/>
  <c r="N190" i="2"/>
  <c r="O30" i="2"/>
  <c r="C289" i="20" s="1"/>
  <c r="B15" i="12"/>
  <c r="B15" i="15"/>
  <c r="D183" i="2"/>
  <c r="B72" i="7"/>
  <c r="B126" i="7"/>
  <c r="N424" i="1"/>
  <c r="O313" i="1"/>
  <c r="C273" i="20" s="1"/>
  <c r="F363" i="1"/>
  <c r="P427" i="1"/>
  <c r="P367" i="1"/>
  <c r="G363" i="1"/>
  <c r="C102" i="20"/>
  <c r="C79" i="20"/>
  <c r="P170" i="2"/>
  <c r="B20" i="7"/>
  <c r="B18" i="7"/>
  <c r="E183" i="2"/>
  <c r="B103" i="6"/>
  <c r="J363" i="1"/>
  <c r="F183" i="2"/>
  <c r="K363" i="1"/>
  <c r="G183" i="2"/>
  <c r="H183" i="2"/>
  <c r="M363" i="1"/>
  <c r="N363" i="1"/>
  <c r="I183" i="2"/>
  <c r="J183" i="2"/>
  <c r="K183" i="2"/>
  <c r="L183" i="2"/>
  <c r="M183" i="2"/>
  <c r="N183" i="2"/>
  <c r="O186" i="2"/>
  <c r="P186" i="2" s="1"/>
  <c r="B109" i="7"/>
  <c r="N454" i="1"/>
  <c r="M454" i="1"/>
  <c r="O456" i="1"/>
  <c r="C461" i="1" s="1"/>
  <c r="I461" i="1"/>
  <c r="F461" i="1"/>
  <c r="D461" i="1"/>
  <c r="L461" i="1"/>
  <c r="C476" i="1"/>
  <c r="C490" i="1"/>
  <c r="C46" i="2"/>
  <c r="C44" i="2"/>
  <c r="O48" i="2"/>
  <c r="P48" i="2" s="1"/>
  <c r="C7" i="20"/>
  <c r="P88" i="1"/>
  <c r="C141" i="20"/>
  <c r="P147" i="1"/>
  <c r="B292" i="1"/>
  <c r="L299" i="1"/>
  <c r="L292" i="1"/>
  <c r="L277" i="1" s="1"/>
  <c r="H299" i="1"/>
  <c r="O356" i="1"/>
  <c r="P356" i="1" s="1"/>
  <c r="O465" i="1"/>
  <c r="E464" i="1"/>
  <c r="M461" i="1"/>
  <c r="E461" i="1"/>
  <c r="B11" i="1"/>
  <c r="R11" i="1" s="1"/>
  <c r="T11" i="1" s="1"/>
  <c r="D316" i="1"/>
  <c r="B62" i="6"/>
  <c r="E299" i="1"/>
  <c r="C207" i="20"/>
  <c r="C138" i="20"/>
  <c r="B18" i="6"/>
  <c r="F110" i="1"/>
  <c r="F107" i="1" s="1"/>
  <c r="B30" i="1"/>
  <c r="C10" i="14" s="1"/>
  <c r="O533" i="1"/>
  <c r="P537" i="1" s="1"/>
  <c r="L121" i="1"/>
  <c r="L278" i="1"/>
  <c r="Q456" i="1"/>
  <c r="O454" i="1"/>
  <c r="G461" i="1"/>
  <c r="K461" i="1"/>
  <c r="J461" i="1"/>
  <c r="N461" i="1"/>
  <c r="H461" i="1"/>
  <c r="C249" i="20"/>
  <c r="P285" i="1"/>
  <c r="N156" i="1"/>
  <c r="H460" i="1"/>
  <c r="J460" i="1"/>
  <c r="C460" i="1"/>
  <c r="B10" i="1"/>
  <c r="R10" i="1" s="1"/>
  <c r="Q502" i="1"/>
  <c r="K504" i="1"/>
  <c r="C504" i="1"/>
  <c r="N504" i="1"/>
  <c r="G504" i="1"/>
  <c r="F504" i="1"/>
  <c r="J504" i="1"/>
  <c r="L504" i="1"/>
  <c r="H504" i="1"/>
  <c r="E504" i="1"/>
  <c r="D504" i="1"/>
  <c r="M504" i="1"/>
  <c r="G411" i="1"/>
  <c r="M411" i="1"/>
  <c r="M398" i="1" s="1"/>
  <c r="H411" i="1"/>
  <c r="F411" i="1"/>
  <c r="I411" i="1"/>
  <c r="I398" i="1" s="1"/>
  <c r="D411" i="1"/>
  <c r="N411" i="1"/>
  <c r="E411" i="1"/>
  <c r="C411" i="1"/>
  <c r="C134" i="1"/>
  <c r="K201" i="1"/>
  <c r="K460" i="1"/>
  <c r="F460" i="1"/>
  <c r="F566" i="1" s="1"/>
  <c r="M460" i="1"/>
  <c r="R26" i="1"/>
  <c r="T26" i="1" s="1"/>
  <c r="Q477" i="1"/>
  <c r="E490" i="1"/>
  <c r="K490" i="1"/>
  <c r="I490" i="1"/>
  <c r="I593" i="1" s="1"/>
  <c r="B19" i="1"/>
  <c r="R19" i="1"/>
  <c r="T19" i="1"/>
  <c r="N490" i="1"/>
  <c r="L490" i="1"/>
  <c r="K411" i="1"/>
  <c r="D204" i="1"/>
  <c r="D201" i="1" s="1"/>
  <c r="B201" i="1"/>
  <c r="B169" i="1" s="1"/>
  <c r="C32" i="14" s="1"/>
  <c r="E204" i="1"/>
  <c r="E201" i="1"/>
  <c r="F204" i="1"/>
  <c r="Q544" i="1"/>
  <c r="J546" i="1"/>
  <c r="L546" i="1"/>
  <c r="N546" i="1"/>
  <c r="G546" i="1"/>
  <c r="M546" i="1"/>
  <c r="D546" i="1"/>
  <c r="C546" i="1"/>
  <c r="C56" i="1" s="1"/>
  <c r="C55" i="1" s="1"/>
  <c r="I546" i="1"/>
  <c r="S8" i="1"/>
  <c r="I370" i="1"/>
  <c r="I369" i="1" s="1"/>
  <c r="L411" i="1"/>
  <c r="D462" i="1"/>
  <c r="D12" i="1" s="1"/>
  <c r="N462" i="1"/>
  <c r="N12" i="1" s="1"/>
  <c r="I462" i="1"/>
  <c r="I12" i="1" s="1"/>
  <c r="N121" i="1"/>
  <c r="F121" i="1"/>
  <c r="R28" i="1"/>
  <c r="T28" i="1" s="1"/>
  <c r="I278" i="1"/>
  <c r="I277" i="1" s="1"/>
  <c r="P419" i="1"/>
  <c r="K126" i="1"/>
  <c r="K114" i="1" s="1"/>
  <c r="G126" i="1"/>
  <c r="N126" i="1"/>
  <c r="B114" i="1"/>
  <c r="C29" i="14" s="1"/>
  <c r="M126" i="1"/>
  <c r="I126" i="1"/>
  <c r="H126" i="1"/>
  <c r="D126" i="1"/>
  <c r="N375" i="1"/>
  <c r="N370" i="1" s="1"/>
  <c r="N369" i="1" s="1"/>
  <c r="J329" i="1"/>
  <c r="J315" i="1" s="1"/>
  <c r="P164" i="1"/>
  <c r="P347" i="1"/>
  <c r="D134" i="1"/>
  <c r="O562" i="1"/>
  <c r="O163" i="1"/>
  <c r="P334" i="1"/>
  <c r="P140" i="1"/>
  <c r="O418" i="1"/>
  <c r="P418" i="1" s="1"/>
  <c r="G441" i="1"/>
  <c r="G424" i="1" s="1"/>
  <c r="K441" i="1"/>
  <c r="K424" i="1"/>
  <c r="C441" i="1"/>
  <c r="C424" i="1" s="1"/>
  <c r="D441" i="1"/>
  <c r="D424" i="1" s="1"/>
  <c r="H441" i="1"/>
  <c r="H424" i="1"/>
  <c r="L441" i="1"/>
  <c r="L424" i="1" s="1"/>
  <c r="E441" i="1"/>
  <c r="E424" i="1"/>
  <c r="I441" i="1"/>
  <c r="I424" i="1" s="1"/>
  <c r="M441" i="1"/>
  <c r="M424" i="1" s="1"/>
  <c r="F441" i="1"/>
  <c r="F424" i="1" s="1"/>
  <c r="B424" i="1"/>
  <c r="J441" i="1"/>
  <c r="J424" i="1" s="1"/>
  <c r="O592" i="1"/>
  <c r="O593" i="1"/>
  <c r="C126" i="1"/>
  <c r="E126" i="1"/>
  <c r="D278" i="1"/>
  <c r="B329" i="1"/>
  <c r="B315" i="1" s="1"/>
  <c r="C35" i="14" s="1"/>
  <c r="H339" i="1"/>
  <c r="H329" i="1" s="1"/>
  <c r="O396" i="1"/>
  <c r="P396" i="1" s="1"/>
  <c r="C19" i="20"/>
  <c r="M528" i="1"/>
  <c r="C566" i="1"/>
  <c r="O125" i="1"/>
  <c r="C370" i="1"/>
  <c r="C369" i="1" s="1"/>
  <c r="O374" i="1"/>
  <c r="P374" i="1" s="1"/>
  <c r="E370" i="1"/>
  <c r="E369" i="1" s="1"/>
  <c r="F399" i="1"/>
  <c r="F398" i="1"/>
  <c r="J399" i="1"/>
  <c r="J398" i="1" s="1"/>
  <c r="N399" i="1"/>
  <c r="N398" i="1" s="1"/>
  <c r="B398" i="1"/>
  <c r="G399" i="1"/>
  <c r="G398" i="1" s="1"/>
  <c r="K399" i="1"/>
  <c r="K398" i="1" s="1"/>
  <c r="C399" i="1"/>
  <c r="D399" i="1"/>
  <c r="H399" i="1"/>
  <c r="L399" i="1"/>
  <c r="L398" i="1" s="1"/>
  <c r="O620" i="1"/>
  <c r="F620" i="1" s="1"/>
  <c r="B40" i="1"/>
  <c r="R40" i="1" s="1"/>
  <c r="T40" i="1" s="1"/>
  <c r="F528" i="1"/>
  <c r="H528" i="1"/>
  <c r="E528" i="1"/>
  <c r="Q523" i="1"/>
  <c r="N528" i="1"/>
  <c r="I528" i="1"/>
  <c r="O668" i="1"/>
  <c r="N668" i="1" s="1"/>
  <c r="O667" i="1"/>
  <c r="O428" i="1"/>
  <c r="P428" i="1" s="1"/>
  <c r="R42" i="1"/>
  <c r="T42" i="1" s="1"/>
  <c r="C17" i="20"/>
  <c r="O567" i="1"/>
  <c r="J567" i="1" s="1"/>
  <c r="O658" i="1"/>
  <c r="M658" i="1" s="1"/>
  <c r="O660" i="1"/>
  <c r="F660" i="1" s="1"/>
  <c r="O659" i="1"/>
  <c r="O655" i="1"/>
  <c r="O657" i="1"/>
  <c r="I657" i="1" s="1"/>
  <c r="O656" i="1"/>
  <c r="O565" i="1"/>
  <c r="C197" i="20"/>
  <c r="P159" i="1"/>
  <c r="C80" i="20"/>
  <c r="C14" i="18"/>
  <c r="B126" i="6"/>
  <c r="P212" i="1"/>
  <c r="O605" i="1"/>
  <c r="H605" i="1" s="1"/>
  <c r="O604" i="1"/>
  <c r="I604" i="1" s="1"/>
  <c r="O606" i="1"/>
  <c r="O506" i="1"/>
  <c r="F512" i="1" s="1"/>
  <c r="O522" i="1"/>
  <c r="C32" i="20"/>
  <c r="P119" i="1"/>
  <c r="O598" i="1"/>
  <c r="N598" i="1" s="1"/>
  <c r="O597" i="1"/>
  <c r="O599" i="1"/>
  <c r="P366" i="1"/>
  <c r="P368" i="1"/>
  <c r="P311" i="1"/>
  <c r="C120" i="20"/>
  <c r="K11" i="1"/>
  <c r="T31" i="1"/>
  <c r="R30" i="1"/>
  <c r="T30" i="1"/>
  <c r="M566" i="1"/>
  <c r="C31" i="1"/>
  <c r="H31" i="1"/>
  <c r="H30" i="1" s="1"/>
  <c r="K31" i="1"/>
  <c r="K30" i="1" s="1"/>
  <c r="D398" i="1"/>
  <c r="I11" i="1"/>
  <c r="N56" i="1"/>
  <c r="N55" i="1" s="1"/>
  <c r="K56" i="1"/>
  <c r="K55" i="1" s="1"/>
  <c r="G56" i="1"/>
  <c r="G55" i="1" s="1"/>
  <c r="J56" i="1"/>
  <c r="J55" i="1" s="1"/>
  <c r="M56" i="1"/>
  <c r="M55" i="1" s="1"/>
  <c r="L19" i="1"/>
  <c r="E19" i="1"/>
  <c r="N19" i="1"/>
  <c r="J566" i="1"/>
  <c r="B14" i="1"/>
  <c r="R14" i="1" s="1"/>
  <c r="T14" i="1" s="1"/>
  <c r="K471" i="1"/>
  <c r="G471" i="1"/>
  <c r="H471" i="1"/>
  <c r="B9" i="1"/>
  <c r="C7" i="14" s="1"/>
  <c r="O564" i="1"/>
  <c r="L11" i="1"/>
  <c r="K10" i="1"/>
  <c r="K566" i="1"/>
  <c r="H566" i="1"/>
  <c r="Q533" i="1"/>
  <c r="P535" i="1"/>
  <c r="P536" i="1"/>
  <c r="P534" i="1"/>
  <c r="E292" i="1"/>
  <c r="F459" i="1"/>
  <c r="O632" i="1"/>
  <c r="D632" i="1"/>
  <c r="O631" i="1"/>
  <c r="O630" i="1"/>
  <c r="I667" i="1"/>
  <c r="K667" i="1"/>
  <c r="F667" i="1"/>
  <c r="M667" i="1"/>
  <c r="G667" i="1"/>
  <c r="L620" i="1"/>
  <c r="G620" i="1"/>
  <c r="N620" i="1"/>
  <c r="K620" i="1"/>
  <c r="M620" i="1"/>
  <c r="H620" i="1"/>
  <c r="N592" i="1"/>
  <c r="C562" i="1"/>
  <c r="D562" i="1"/>
  <c r="L562" i="1"/>
  <c r="H562" i="1"/>
  <c r="M660" i="1"/>
  <c r="J660" i="1"/>
  <c r="I660" i="1"/>
  <c r="O641" i="1"/>
  <c r="M641" i="1" s="1"/>
  <c r="P163" i="1"/>
  <c r="C205" i="20"/>
  <c r="H564" i="1"/>
  <c r="O603" i="1"/>
  <c r="M668" i="1"/>
  <c r="C668" i="1"/>
  <c r="C196" i="20"/>
  <c r="P157" i="1"/>
  <c r="G657" i="1"/>
  <c r="J657" i="1"/>
  <c r="D657" i="1"/>
  <c r="M567" i="1"/>
  <c r="H567" i="1"/>
  <c r="L593" i="1"/>
  <c r="E593" i="1"/>
  <c r="K593" i="1"/>
  <c r="C593" i="1"/>
  <c r="I659" i="1"/>
  <c r="N659" i="1"/>
  <c r="F659" i="1"/>
  <c r="J659" i="1"/>
  <c r="M659" i="1"/>
  <c r="C398" i="1"/>
  <c r="D630" i="1"/>
  <c r="R35" i="1"/>
  <c r="T35" i="1" s="1"/>
  <c r="L605" i="1"/>
  <c r="D605" i="1"/>
  <c r="I605" i="1"/>
  <c r="E605" i="1"/>
  <c r="J598" i="1"/>
  <c r="P526" i="1"/>
  <c r="P524" i="1"/>
  <c r="P525" i="1"/>
  <c r="J512" i="1"/>
  <c r="P510" i="1"/>
  <c r="H512" i="1"/>
  <c r="D512" i="1"/>
  <c r="P507" i="1"/>
  <c r="I512" i="1"/>
  <c r="N512" i="1"/>
  <c r="H630" i="1"/>
  <c r="K631" i="1"/>
  <c r="K630" i="1"/>
  <c r="K632" i="1"/>
  <c r="H632" i="1"/>
  <c r="T10" i="1"/>
  <c r="C30" i="1"/>
  <c r="I603" i="1"/>
  <c r="M632" i="1"/>
  <c r="E632" i="1"/>
  <c r="L632" i="1"/>
  <c r="F632" i="1"/>
  <c r="N631" i="1"/>
  <c r="J31" i="1" l="1"/>
  <c r="J30" i="1" s="1"/>
  <c r="L459" i="1"/>
  <c r="H459" i="1"/>
  <c r="P164" i="2"/>
  <c r="M631" i="1"/>
  <c r="E11" i="1"/>
  <c r="D11" i="1"/>
  <c r="C11" i="1"/>
  <c r="N11" i="1"/>
  <c r="O563" i="1"/>
  <c r="F11" i="1"/>
  <c r="G11" i="1"/>
  <c r="M11" i="1"/>
  <c r="O11" i="1" s="1"/>
  <c r="P11" i="1" s="1"/>
  <c r="H11" i="1"/>
  <c r="E471" i="1"/>
  <c r="I471" i="1"/>
  <c r="C471" i="1"/>
  <c r="N471" i="1"/>
  <c r="Q465" i="1"/>
  <c r="M471" i="1"/>
  <c r="D471" i="1"/>
  <c r="L471" i="1"/>
  <c r="F471" i="1"/>
  <c r="F14" i="1" s="1"/>
  <c r="B78" i="7"/>
  <c r="P91" i="2"/>
  <c r="O323" i="1"/>
  <c r="K316" i="1"/>
  <c r="B104" i="7"/>
  <c r="P182" i="2"/>
  <c r="I564" i="1"/>
  <c r="C564" i="1"/>
  <c r="L564" i="1"/>
  <c r="K564" i="1"/>
  <c r="M564" i="1"/>
  <c r="J564" i="1"/>
  <c r="F565" i="1"/>
  <c r="E565" i="1"/>
  <c r="C565" i="1"/>
  <c r="M565" i="1"/>
  <c r="J565" i="1"/>
  <c r="N565" i="1"/>
  <c r="D604" i="1"/>
  <c r="K603" i="1"/>
  <c r="H603" i="1"/>
  <c r="G564" i="1"/>
  <c r="I592" i="1"/>
  <c r="F630" i="1"/>
  <c r="N630" i="1"/>
  <c r="L630" i="1"/>
  <c r="E630" i="1"/>
  <c r="J597" i="1"/>
  <c r="N597" i="1"/>
  <c r="N379" i="1"/>
  <c r="K562" i="1"/>
  <c r="I562" i="1"/>
  <c r="Q562" i="1"/>
  <c r="J562" i="1"/>
  <c r="G562" i="1"/>
  <c r="E562" i="1"/>
  <c r="F562" i="1"/>
  <c r="N562" i="1"/>
  <c r="O92" i="2"/>
  <c r="P92" i="2" s="1"/>
  <c r="B80" i="7"/>
  <c r="B79" i="7" s="1"/>
  <c r="M604" i="1"/>
  <c r="P87" i="2"/>
  <c r="O84" i="2"/>
  <c r="F564" i="1"/>
  <c r="F631" i="1"/>
  <c r="L631" i="1"/>
  <c r="C631" i="1"/>
  <c r="E631" i="1"/>
  <c r="D631" i="1"/>
  <c r="H565" i="1"/>
  <c r="E564" i="1"/>
  <c r="D655" i="1"/>
  <c r="L655" i="1"/>
  <c r="B108" i="7"/>
  <c r="O183" i="2"/>
  <c r="B30" i="15" s="1"/>
  <c r="N641" i="1"/>
  <c r="K641" i="1"/>
  <c r="E641" i="1"/>
  <c r="D668" i="1"/>
  <c r="I668" i="1"/>
  <c r="K668" i="1"/>
  <c r="F668" i="1"/>
  <c r="J668" i="1"/>
  <c r="G668" i="1"/>
  <c r="K565" i="1"/>
  <c r="L604" i="1"/>
  <c r="I641" i="1"/>
  <c r="H604" i="1"/>
  <c r="G631" i="1"/>
  <c r="N564" i="1"/>
  <c r="O642" i="1"/>
  <c r="F40" i="1"/>
  <c r="I40" i="1"/>
  <c r="G641" i="1"/>
  <c r="E604" i="1"/>
  <c r="H631" i="1"/>
  <c r="L668" i="1"/>
  <c r="D564" i="1"/>
  <c r="M562" i="1"/>
  <c r="J471" i="1"/>
  <c r="Q522" i="1"/>
  <c r="P523" i="1"/>
  <c r="B73" i="7"/>
  <c r="K592" i="1"/>
  <c r="C620" i="1"/>
  <c r="G656" i="1"/>
  <c r="D656" i="1"/>
  <c r="L370" i="1"/>
  <c r="L369" i="1" s="1"/>
  <c r="B70" i="7"/>
  <c r="P161" i="2"/>
  <c r="O160" i="2"/>
  <c r="P160" i="2" s="1"/>
  <c r="L27" i="2"/>
  <c r="L26" i="2" s="1"/>
  <c r="L25" i="2" s="1"/>
  <c r="E27" i="2"/>
  <c r="E26" i="2" s="1"/>
  <c r="E25" i="2" s="1"/>
  <c r="M27" i="2"/>
  <c r="M26" i="2" s="1"/>
  <c r="M25" i="2" s="1"/>
  <c r="I27" i="2"/>
  <c r="I26" i="2" s="1"/>
  <c r="I25" i="2" s="1"/>
  <c r="F27" i="2"/>
  <c r="F26" i="2" s="1"/>
  <c r="J27" i="2"/>
  <c r="J26" i="2" s="1"/>
  <c r="J25" i="2" s="1"/>
  <c r="H27" i="2"/>
  <c r="H26" i="2" s="1"/>
  <c r="G27" i="2"/>
  <c r="G26" i="2" s="1"/>
  <c r="G25" i="2" s="1"/>
  <c r="C27" i="2"/>
  <c r="K27" i="2"/>
  <c r="K26" i="2" s="1"/>
  <c r="H75" i="2"/>
  <c r="O76" i="2"/>
  <c r="K512" i="1"/>
  <c r="N593" i="1"/>
  <c r="L512" i="1"/>
  <c r="C667" i="1"/>
  <c r="J667" i="1"/>
  <c r="O669" i="1"/>
  <c r="F56" i="1"/>
  <c r="F55" i="1" s="1"/>
  <c r="I56" i="1"/>
  <c r="I55" i="1" s="1"/>
  <c r="C19" i="1"/>
  <c r="I19" i="1"/>
  <c r="F19" i="1"/>
  <c r="O591" i="1"/>
  <c r="B27" i="7"/>
  <c r="P45" i="2"/>
  <c r="C117" i="2"/>
  <c r="O118" i="2"/>
  <c r="O561" i="1"/>
  <c r="H10" i="1"/>
  <c r="M10" i="1"/>
  <c r="Q507" i="1"/>
  <c r="N513" i="1"/>
  <c r="C513" i="1"/>
  <c r="G513" i="1"/>
  <c r="B33" i="1"/>
  <c r="L513" i="1"/>
  <c r="K513" i="1"/>
  <c r="F513" i="1"/>
  <c r="F33" i="1" s="1"/>
  <c r="D513" i="1"/>
  <c r="J513" i="1"/>
  <c r="E513" i="1"/>
  <c r="M513" i="1"/>
  <c r="H513" i="1"/>
  <c r="D178" i="2"/>
  <c r="O181" i="2"/>
  <c r="F199" i="2"/>
  <c r="O200" i="2"/>
  <c r="O199" i="2" s="1"/>
  <c r="D593" i="1"/>
  <c r="J11" i="1"/>
  <c r="P107" i="2"/>
  <c r="C291" i="20"/>
  <c r="P34" i="2"/>
  <c r="C105" i="2"/>
  <c r="O126" i="2"/>
  <c r="O198" i="2"/>
  <c r="O196" i="2" s="1"/>
  <c r="D196" i="2"/>
  <c r="C190" i="20"/>
  <c r="P227" i="2"/>
  <c r="D169" i="2"/>
  <c r="E190" i="2"/>
  <c r="O194" i="2"/>
  <c r="O193" i="2" s="1"/>
  <c r="C193" i="2"/>
  <c r="Q506" i="1"/>
  <c r="P509" i="1"/>
  <c r="G512" i="1"/>
  <c r="L567" i="1"/>
  <c r="D620" i="1"/>
  <c r="I620" i="1"/>
  <c r="L592" i="1"/>
  <c r="F592" i="1"/>
  <c r="C592" i="1"/>
  <c r="F31" i="1"/>
  <c r="F30" i="1" s="1"/>
  <c r="I31" i="1"/>
  <c r="I30" i="1" s="1"/>
  <c r="O618" i="1"/>
  <c r="D31" i="1"/>
  <c r="D30" i="1" s="1"/>
  <c r="P508" i="1"/>
  <c r="C512" i="1"/>
  <c r="M605" i="1"/>
  <c r="N567" i="1"/>
  <c r="N660" i="1"/>
  <c r="E592" i="1"/>
  <c r="J620" i="1"/>
  <c r="N667" i="1"/>
  <c r="G632" i="1"/>
  <c r="N632" i="1"/>
  <c r="K19" i="1"/>
  <c r="M31" i="1"/>
  <c r="M30" i="1" s="1"/>
  <c r="O619" i="1"/>
  <c r="L31" i="1"/>
  <c r="L30" i="1" s="1"/>
  <c r="P230" i="2"/>
  <c r="E120" i="2"/>
  <c r="O121" i="2"/>
  <c r="C156" i="2"/>
  <c r="C155" i="2" s="1"/>
  <c r="O157" i="2"/>
  <c r="O156" i="2" s="1"/>
  <c r="J190" i="2"/>
  <c r="M490" i="1"/>
  <c r="F490" i="1"/>
  <c r="F593" i="1" s="1"/>
  <c r="H490" i="1"/>
  <c r="H592" i="1" s="1"/>
  <c r="D490" i="1"/>
  <c r="G490" i="1"/>
  <c r="G593" i="1" s="1"/>
  <c r="J490" i="1"/>
  <c r="O358" i="1"/>
  <c r="C122" i="20" s="1"/>
  <c r="O208" i="1"/>
  <c r="G207" i="1"/>
  <c r="G169" i="1" s="1"/>
  <c r="O212" i="2"/>
  <c r="P212" i="2" s="1"/>
  <c r="D202" i="2"/>
  <c r="H292" i="1"/>
  <c r="D348" i="1"/>
  <c r="D315" i="1" s="1"/>
  <c r="F190" i="2"/>
  <c r="O216" i="2"/>
  <c r="D15" i="15"/>
  <c r="E15" i="15"/>
  <c r="M190" i="2"/>
  <c r="C180" i="20"/>
  <c r="P215" i="2"/>
  <c r="B112" i="7"/>
  <c r="B111" i="7" s="1"/>
  <c r="O187" i="2"/>
  <c r="O119" i="2"/>
  <c r="D190" i="2"/>
  <c r="O307" i="1"/>
  <c r="H301" i="1"/>
  <c r="N306" i="2"/>
  <c r="N305" i="2"/>
  <c r="O222" i="2"/>
  <c r="H153" i="1"/>
  <c r="H152" i="1" s="1"/>
  <c r="I153" i="1"/>
  <c r="J153" i="1"/>
  <c r="J152" i="1" s="1"/>
  <c r="K153" i="1"/>
  <c r="K152" i="1" s="1"/>
  <c r="F153" i="1"/>
  <c r="F152" i="1" s="1"/>
  <c r="F134" i="1" s="1"/>
  <c r="G153" i="1"/>
  <c r="G152" i="1" s="1"/>
  <c r="L153" i="1"/>
  <c r="L152" i="1" s="1"/>
  <c r="M153" i="1"/>
  <c r="M152" i="1" s="1"/>
  <c r="N153" i="1"/>
  <c r="N152" i="1" s="1"/>
  <c r="F202" i="2"/>
  <c r="Q524" i="1"/>
  <c r="E529" i="1"/>
  <c r="N529" i="1"/>
  <c r="N41" i="1" s="1"/>
  <c r="F529" i="1"/>
  <c r="H529" i="1"/>
  <c r="I529" i="1"/>
  <c r="J529" i="1"/>
  <c r="K529" i="1"/>
  <c r="B41" i="1"/>
  <c r="R41" i="1" s="1"/>
  <c r="T41" i="1" s="1"/>
  <c r="L529" i="1"/>
  <c r="L41" i="1" s="1"/>
  <c r="M529" i="1"/>
  <c r="F514" i="1"/>
  <c r="B34" i="1"/>
  <c r="R34" i="1" s="1"/>
  <c r="T34" i="1" s="1"/>
  <c r="L514" i="1"/>
  <c r="L155" i="2"/>
  <c r="L156" i="1"/>
  <c r="I460" i="1"/>
  <c r="D460" i="1"/>
  <c r="D10" i="1" s="1"/>
  <c r="D9" i="1" s="1"/>
  <c r="E460" i="1"/>
  <c r="L460" i="1"/>
  <c r="L565" i="1" s="1"/>
  <c r="M520" i="1"/>
  <c r="H520" i="1"/>
  <c r="H38" i="1" s="1"/>
  <c r="H37" i="1" s="1"/>
  <c r="I520" i="1"/>
  <c r="K85" i="1"/>
  <c r="M392" i="1"/>
  <c r="M150" i="2"/>
  <c r="E150" i="2"/>
  <c r="E144" i="2" s="1"/>
  <c r="B144" i="2"/>
  <c r="D25" i="2"/>
  <c r="F46" i="2"/>
  <c r="F44" i="2" s="1"/>
  <c r="F25" i="2" s="1"/>
  <c r="O49" i="2"/>
  <c r="O46" i="2" s="1"/>
  <c r="P46" i="2" s="1"/>
  <c r="P18" i="2"/>
  <c r="D155" i="2"/>
  <c r="E117" i="2"/>
  <c r="Q518" i="1"/>
  <c r="K520" i="1"/>
  <c r="E156" i="2"/>
  <c r="E275" i="1"/>
  <c r="O276" i="1"/>
  <c r="O275" i="1" s="1"/>
  <c r="H25" i="2"/>
  <c r="F117" i="2"/>
  <c r="F105" i="2" s="1"/>
  <c r="J520" i="1"/>
  <c r="C132" i="2"/>
  <c r="O141" i="2"/>
  <c r="P141" i="2" s="1"/>
  <c r="E398" i="1"/>
  <c r="N31" i="1"/>
  <c r="N30" i="1" s="1"/>
  <c r="C96" i="2"/>
  <c r="N105" i="2"/>
  <c r="I169" i="2"/>
  <c r="C169" i="2"/>
  <c r="G117" i="2"/>
  <c r="G105" i="2" s="1"/>
  <c r="M305" i="2"/>
  <c r="H19" i="2"/>
  <c r="F19" i="2"/>
  <c r="J19" i="2"/>
  <c r="C19" i="2"/>
  <c r="Q243" i="2"/>
  <c r="J245" i="2"/>
  <c r="L245" i="2"/>
  <c r="K245" i="2"/>
  <c r="H245" i="2"/>
  <c r="G245" i="2"/>
  <c r="D245" i="2"/>
  <c r="F245" i="2"/>
  <c r="K258" i="2"/>
  <c r="K19" i="2" s="1"/>
  <c r="L258" i="2"/>
  <c r="L19" i="2" s="1"/>
  <c r="M258" i="2"/>
  <c r="M19" i="2" s="1"/>
  <c r="H258" i="2"/>
  <c r="I258" i="2"/>
  <c r="I19" i="2" s="1"/>
  <c r="D258" i="2"/>
  <c r="D19" i="2" s="1"/>
  <c r="N258" i="2"/>
  <c r="N19" i="2" s="1"/>
  <c r="E258" i="2"/>
  <c r="E19" i="2" s="1"/>
  <c r="J258" i="2"/>
  <c r="K84" i="2"/>
  <c r="B105" i="2"/>
  <c r="C27" i="15" s="1"/>
  <c r="L105" i="2"/>
  <c r="O112" i="2"/>
  <c r="P112" i="2" s="1"/>
  <c r="E162" i="2"/>
  <c r="S52" i="2"/>
  <c r="C215" i="20"/>
  <c r="B129" i="7"/>
  <c r="K190" i="2"/>
  <c r="J155" i="2"/>
  <c r="P184" i="2"/>
  <c r="B107" i="7"/>
  <c r="B106" i="7" s="1"/>
  <c r="K105" i="2"/>
  <c r="O158" i="2"/>
  <c r="P158" i="2" s="1"/>
  <c r="I156" i="1"/>
  <c r="G460" i="1"/>
  <c r="G566" i="1" s="1"/>
  <c r="M262" i="2"/>
  <c r="D262" i="2"/>
  <c r="I262" i="2"/>
  <c r="Q260" i="2"/>
  <c r="N262" i="2"/>
  <c r="E262" i="2"/>
  <c r="C262" i="2"/>
  <c r="J262" i="2"/>
  <c r="L262" i="2"/>
  <c r="K262" i="2"/>
  <c r="F262" i="2"/>
  <c r="H262" i="2"/>
  <c r="E106" i="2"/>
  <c r="O123" i="2"/>
  <c r="O122" i="2" s="1"/>
  <c r="B91" i="7" s="1"/>
  <c r="C165" i="20" s="1"/>
  <c r="J13" i="28"/>
  <c r="O167" i="2"/>
  <c r="P167" i="2" s="1"/>
  <c r="O219" i="2"/>
  <c r="B21" i="14"/>
  <c r="D21" i="14" s="1"/>
  <c r="B19" i="6"/>
  <c r="E169" i="2"/>
  <c r="M110" i="1"/>
  <c r="M107" i="1" s="1"/>
  <c r="G121" i="1"/>
  <c r="G231" i="2"/>
  <c r="G229" i="2" s="1"/>
  <c r="G228" i="2" s="1"/>
  <c r="L231" i="2"/>
  <c r="L229" i="2" s="1"/>
  <c r="L228" i="2" s="1"/>
  <c r="E231" i="2"/>
  <c r="E229" i="2" s="1"/>
  <c r="E228" i="2" s="1"/>
  <c r="J231" i="2"/>
  <c r="J229" i="2" s="1"/>
  <c r="J228" i="2" s="1"/>
  <c r="F297" i="2"/>
  <c r="M297" i="2"/>
  <c r="I297" i="2"/>
  <c r="G297" i="2"/>
  <c r="S13" i="28"/>
  <c r="B110" i="1"/>
  <c r="B107" i="1" s="1"/>
  <c r="C28" i="14" s="1"/>
  <c r="D539" i="1"/>
  <c r="J539" i="1"/>
  <c r="L539" i="1"/>
  <c r="N539" i="1"/>
  <c r="Q480" i="1"/>
  <c r="D22" i="1" s="1"/>
  <c r="L493" i="1"/>
  <c r="B22" i="1"/>
  <c r="R22" i="1" s="1"/>
  <c r="T22" i="1" s="1"/>
  <c r="E554" i="1"/>
  <c r="E673" i="1" s="1"/>
  <c r="M554" i="1"/>
  <c r="M675" i="1" s="1"/>
  <c r="N554" i="1"/>
  <c r="N672" i="1" s="1"/>
  <c r="C554" i="1"/>
  <c r="C675" i="1" s="1"/>
  <c r="M134" i="1"/>
  <c r="F84" i="2"/>
  <c r="D44" i="2"/>
  <c r="F169" i="2"/>
  <c r="E110" i="1"/>
  <c r="E107" i="1" s="1"/>
  <c r="K44" i="2"/>
  <c r="H85" i="1"/>
  <c r="K170" i="1"/>
  <c r="K169" i="1" s="1"/>
  <c r="O173" i="1"/>
  <c r="P173" i="1" s="1"/>
  <c r="J170" i="1"/>
  <c r="H182" i="1"/>
  <c r="B29" i="2"/>
  <c r="E249" i="2"/>
  <c r="Q247" i="2"/>
  <c r="N249" i="2"/>
  <c r="C249" i="2"/>
  <c r="L249" i="2"/>
  <c r="K249" i="2"/>
  <c r="K278" i="2"/>
  <c r="E278" i="2"/>
  <c r="D278" i="2"/>
  <c r="N278" i="2"/>
  <c r="C278" i="2"/>
  <c r="J278" i="2"/>
  <c r="G278" i="2"/>
  <c r="C231" i="2"/>
  <c r="B45" i="1"/>
  <c r="R45" i="1" s="1"/>
  <c r="T45" i="1" s="1"/>
  <c r="Q510" i="1"/>
  <c r="K36" i="1" s="1"/>
  <c r="E516" i="1"/>
  <c r="F516" i="1"/>
  <c r="I516" i="1"/>
  <c r="J516" i="1"/>
  <c r="J105" i="2"/>
  <c r="G169" i="2"/>
  <c r="Q268" i="2"/>
  <c r="D270" i="2"/>
  <c r="H270" i="2"/>
  <c r="I270" i="2"/>
  <c r="E270" i="2"/>
  <c r="M270" i="2"/>
  <c r="D254" i="2"/>
  <c r="G254" i="2"/>
  <c r="E254" i="2"/>
  <c r="L254" i="2"/>
  <c r="Q252" i="2"/>
  <c r="H254" i="2"/>
  <c r="C282" i="2"/>
  <c r="N282" i="2"/>
  <c r="K282" i="2"/>
  <c r="J282" i="2"/>
  <c r="L282" i="2"/>
  <c r="G282" i="2"/>
  <c r="F282" i="2"/>
  <c r="H282" i="2"/>
  <c r="N231" i="2"/>
  <c r="N229" i="2" s="1"/>
  <c r="N228" i="2" s="1"/>
  <c r="Q478" i="1"/>
  <c r="E491" i="1"/>
  <c r="N491" i="1"/>
  <c r="N20" i="1" s="1"/>
  <c r="F491" i="1"/>
  <c r="B20" i="1"/>
  <c r="R20" i="1" s="1"/>
  <c r="T20" i="1" s="1"/>
  <c r="G491" i="1"/>
  <c r="H491" i="1"/>
  <c r="B155" i="2"/>
  <c r="C28" i="15" s="1"/>
  <c r="G12" i="1"/>
  <c r="O138" i="2"/>
  <c r="D132" i="2"/>
  <c r="O142" i="2"/>
  <c r="P142" i="2" s="1"/>
  <c r="K132" i="2"/>
  <c r="G208" i="2"/>
  <c r="G202" i="2" s="1"/>
  <c r="G190" i="2" s="1"/>
  <c r="M208" i="2"/>
  <c r="M202" i="2" s="1"/>
  <c r="C208" i="2"/>
  <c r="I208" i="2"/>
  <c r="I202" i="2" s="1"/>
  <c r="I190" i="2" s="1"/>
  <c r="E208" i="2"/>
  <c r="E202" i="2" s="1"/>
  <c r="L208" i="2"/>
  <c r="B202" i="2"/>
  <c r="B190" i="2" s="1"/>
  <c r="C32" i="15" s="1"/>
  <c r="F35" i="1"/>
  <c r="H35" i="1"/>
  <c r="O423" i="1"/>
  <c r="P423" i="1" s="1"/>
  <c r="E282" i="1"/>
  <c r="E278" i="1" s="1"/>
  <c r="E277" i="1" s="1"/>
  <c r="H282" i="1"/>
  <c r="H278" i="1" s="1"/>
  <c r="O294" i="1"/>
  <c r="P294" i="1" s="1"/>
  <c r="D292" i="1"/>
  <c r="O33" i="2"/>
  <c r="I110" i="1"/>
  <c r="I107" i="1" s="1"/>
  <c r="I201" i="1"/>
  <c r="F126" i="1"/>
  <c r="G348" i="1"/>
  <c r="C274" i="2"/>
  <c r="C17" i="2" s="1"/>
  <c r="H82" i="2"/>
  <c r="J82" i="2"/>
  <c r="D300" i="2"/>
  <c r="F300" i="2"/>
  <c r="O261" i="1"/>
  <c r="P261" i="1" s="1"/>
  <c r="M292" i="1"/>
  <c r="G329" i="1"/>
  <c r="G315" i="1" s="1"/>
  <c r="G443" i="1"/>
  <c r="G442" i="1" s="1"/>
  <c r="O400" i="1"/>
  <c r="P400" i="1" s="1"/>
  <c r="I25" i="1"/>
  <c r="M156" i="1"/>
  <c r="D117" i="2"/>
  <c r="D110" i="1"/>
  <c r="D107" i="1" s="1"/>
  <c r="D121" i="1"/>
  <c r="N266" i="2"/>
  <c r="N27" i="2" s="1"/>
  <c r="N26" i="2" s="1"/>
  <c r="N25" i="2" s="1"/>
  <c r="I266" i="2"/>
  <c r="I288" i="2"/>
  <c r="I324" i="2" s="1"/>
  <c r="E300" i="2"/>
  <c r="H300" i="2"/>
  <c r="J300" i="2"/>
  <c r="O283" i="1"/>
  <c r="P283" i="1" s="1"/>
  <c r="O420" i="1"/>
  <c r="P420" i="1" s="1"/>
  <c r="O262" i="1"/>
  <c r="P262" i="1" s="1"/>
  <c r="B48" i="1"/>
  <c r="R48" i="1" s="1"/>
  <c r="T48" i="1" s="1"/>
  <c r="M542" i="1"/>
  <c r="E542" i="1"/>
  <c r="E541" i="1"/>
  <c r="E660" i="1" s="1"/>
  <c r="N530" i="1"/>
  <c r="Q525" i="1"/>
  <c r="J515" i="1"/>
  <c r="C515" i="1"/>
  <c r="J500" i="1"/>
  <c r="Q486" i="1"/>
  <c r="F492" i="1"/>
  <c r="B21" i="25"/>
  <c r="B30" i="25" s="1"/>
  <c r="O113" i="1"/>
  <c r="P113" i="1" s="1"/>
  <c r="I515" i="1"/>
  <c r="I632" i="1" s="1"/>
  <c r="F500" i="1"/>
  <c r="N496" i="1"/>
  <c r="I392" i="1"/>
  <c r="O345" i="1"/>
  <c r="C103" i="20" s="1"/>
  <c r="B46" i="1"/>
  <c r="R46" i="1" s="1"/>
  <c r="T46" i="1" s="1"/>
  <c r="L540" i="1"/>
  <c r="L657" i="1" s="1"/>
  <c r="L496" i="1"/>
  <c r="L603" i="1" s="1"/>
  <c r="B66" i="7"/>
  <c r="P81" i="2"/>
  <c r="F379" i="1"/>
  <c r="B28" i="7"/>
  <c r="O44" i="2"/>
  <c r="E618" i="1"/>
  <c r="B84" i="6"/>
  <c r="B83" i="6" s="1"/>
  <c r="P275" i="1"/>
  <c r="O153" i="2"/>
  <c r="P100" i="2"/>
  <c r="O96" i="2"/>
  <c r="N114" i="1"/>
  <c r="P199" i="2"/>
  <c r="B118" i="7"/>
  <c r="C175" i="20" s="1"/>
  <c r="J135" i="1"/>
  <c r="J134" i="1" s="1"/>
  <c r="P185" i="2"/>
  <c r="O397" i="1"/>
  <c r="B116" i="6" s="1"/>
  <c r="C71" i="20" s="1"/>
  <c r="P276" i="1"/>
  <c r="L135" i="1"/>
  <c r="P200" i="2"/>
  <c r="P16" i="2"/>
  <c r="I83" i="2"/>
  <c r="F83" i="2"/>
  <c r="F80" i="2" s="1"/>
  <c r="K83" i="2"/>
  <c r="K80" i="2" s="1"/>
  <c r="M83" i="2"/>
  <c r="M80" i="2" s="1"/>
  <c r="J83" i="2"/>
  <c r="C83" i="2"/>
  <c r="D83" i="2"/>
  <c r="D80" i="2" s="1"/>
  <c r="N83" i="2"/>
  <c r="N80" i="2" s="1"/>
  <c r="H83" i="2"/>
  <c r="E83" i="2"/>
  <c r="E80" i="2" s="1"/>
  <c r="L83" i="2"/>
  <c r="L80" i="2" s="1"/>
  <c r="G83" i="2"/>
  <c r="G80" i="2" s="1"/>
  <c r="M277" i="1"/>
  <c r="M9" i="2"/>
  <c r="N9" i="2"/>
  <c r="G5" i="25"/>
  <c r="E5" i="25"/>
  <c r="P30" i="2"/>
  <c r="F114" i="1"/>
  <c r="N315" i="1"/>
  <c r="P194" i="2"/>
  <c r="C166" i="1"/>
  <c r="C156" i="1" s="1"/>
  <c r="I135" i="1"/>
  <c r="E156" i="1"/>
  <c r="I114" i="1"/>
  <c r="M170" i="1"/>
  <c r="M169" i="1" s="1"/>
  <c r="I170" i="1"/>
  <c r="E170" i="1"/>
  <c r="L170" i="1"/>
  <c r="L169" i="1" s="1"/>
  <c r="H170" i="1"/>
  <c r="D170" i="1"/>
  <c r="K178" i="1"/>
  <c r="G178" i="1"/>
  <c r="M186" i="1"/>
  <c r="K186" i="1"/>
  <c r="G186" i="1"/>
  <c r="O196" i="1"/>
  <c r="P196" i="1" s="1"/>
  <c r="O332" i="1"/>
  <c r="M324" i="2"/>
  <c r="M323" i="2"/>
  <c r="M322" i="2"/>
  <c r="M321" i="2"/>
  <c r="M326" i="2"/>
  <c r="M325" i="2"/>
  <c r="G325" i="2"/>
  <c r="G326" i="2"/>
  <c r="H326" i="2"/>
  <c r="H325" i="2"/>
  <c r="C323" i="2"/>
  <c r="C322" i="2"/>
  <c r="C321" i="2"/>
  <c r="C324" i="2"/>
  <c r="E324" i="2"/>
  <c r="E323" i="2"/>
  <c r="E322" i="2"/>
  <c r="E321" i="2"/>
  <c r="O236" i="1"/>
  <c r="P236" i="1" s="1"/>
  <c r="J46" i="1"/>
  <c r="D46" i="1"/>
  <c r="L46" i="1"/>
  <c r="H156" i="1"/>
  <c r="H201" i="1"/>
  <c r="C520" i="1"/>
  <c r="C38" i="1" s="1"/>
  <c r="C37" i="1" s="1"/>
  <c r="F520" i="1"/>
  <c r="F38" i="1" s="1"/>
  <c r="F37" i="1" s="1"/>
  <c r="E121" i="1"/>
  <c r="E114" i="1" s="1"/>
  <c r="K348" i="1"/>
  <c r="K315" i="1" s="1"/>
  <c r="O317" i="2"/>
  <c r="O316" i="2"/>
  <c r="O315" i="2"/>
  <c r="O311" i="2"/>
  <c r="O310" i="2"/>
  <c r="O312" i="2"/>
  <c r="E245" i="2"/>
  <c r="J326" i="2"/>
  <c r="J325" i="2"/>
  <c r="F324" i="2"/>
  <c r="F323" i="2"/>
  <c r="F322" i="2"/>
  <c r="F321" i="2"/>
  <c r="K325" i="2"/>
  <c r="K326" i="2"/>
  <c r="L326" i="2"/>
  <c r="L325" i="2"/>
  <c r="K323" i="2"/>
  <c r="K322" i="2"/>
  <c r="K321" i="2"/>
  <c r="K324" i="2"/>
  <c r="G323" i="2"/>
  <c r="G322" i="2"/>
  <c r="G321" i="2"/>
  <c r="G324" i="2"/>
  <c r="O265" i="1"/>
  <c r="P265" i="1" s="1"/>
  <c r="L348" i="1"/>
  <c r="M12" i="1"/>
  <c r="K282" i="1"/>
  <c r="K278" i="1" s="1"/>
  <c r="K277" i="1" s="1"/>
  <c r="J24" i="1"/>
  <c r="C24" i="1"/>
  <c r="K24" i="1"/>
  <c r="F24" i="1"/>
  <c r="N24" i="1"/>
  <c r="G24" i="1"/>
  <c r="M315" i="1"/>
  <c r="M38" i="1"/>
  <c r="M37" i="1" s="1"/>
  <c r="O120" i="1"/>
  <c r="C33" i="20" s="1"/>
  <c r="O117" i="1"/>
  <c r="J115" i="1"/>
  <c r="J114" i="1" s="1"/>
  <c r="E18" i="23"/>
  <c r="N326" i="2"/>
  <c r="N325" i="2"/>
  <c r="J324" i="2"/>
  <c r="J323" i="2"/>
  <c r="J322" i="2"/>
  <c r="J321" i="2"/>
  <c r="C325" i="2"/>
  <c r="C326" i="2"/>
  <c r="I326" i="2"/>
  <c r="I325" i="2"/>
  <c r="L324" i="2"/>
  <c r="L323" i="2"/>
  <c r="L322" i="2"/>
  <c r="L321" i="2"/>
  <c r="H324" i="2"/>
  <c r="H323" i="2"/>
  <c r="H322" i="2"/>
  <c r="H321" i="2"/>
  <c r="F326" i="2"/>
  <c r="F325" i="2"/>
  <c r="O304" i="1"/>
  <c r="C264" i="20" s="1"/>
  <c r="C184" i="20"/>
  <c r="P221" i="2"/>
  <c r="J201" i="1"/>
  <c r="P22" i="2"/>
  <c r="L520" i="1"/>
  <c r="L38" i="1" s="1"/>
  <c r="L37" i="1" s="1"/>
  <c r="G520" i="1"/>
  <c r="G38" i="1" s="1"/>
  <c r="G37" i="1" s="1"/>
  <c r="E520" i="1"/>
  <c r="E38" i="1" s="1"/>
  <c r="E37" i="1" s="1"/>
  <c r="M121" i="1"/>
  <c r="M114" i="1" s="1"/>
  <c r="G392" i="1"/>
  <c r="C82" i="2"/>
  <c r="I323" i="2"/>
  <c r="E326" i="2"/>
  <c r="E325" i="2"/>
  <c r="N324" i="2"/>
  <c r="N323" i="2"/>
  <c r="N322" i="2"/>
  <c r="N321" i="2"/>
  <c r="D326" i="2"/>
  <c r="D325" i="2"/>
  <c r="D324" i="2"/>
  <c r="D323" i="2"/>
  <c r="D322" i="2"/>
  <c r="D321" i="2"/>
  <c r="F232" i="1"/>
  <c r="O321" i="1"/>
  <c r="P321" i="1" s="1"/>
  <c r="O444" i="1"/>
  <c r="B123" i="6" s="1"/>
  <c r="O445" i="1"/>
  <c r="O446" i="1"/>
  <c r="O443" i="1" s="1"/>
  <c r="H12" i="1"/>
  <c r="H9" i="1" s="1"/>
  <c r="I152" i="1"/>
  <c r="L115" i="1"/>
  <c r="L114" i="1" s="1"/>
  <c r="H115" i="1"/>
  <c r="H114" i="1" s="1"/>
  <c r="D115" i="1"/>
  <c r="D114" i="1" s="1"/>
  <c r="B278" i="1"/>
  <c r="B277" i="1" s="1"/>
  <c r="C34" i="14" s="1"/>
  <c r="O131" i="1"/>
  <c r="O401" i="1"/>
  <c r="P401" i="1" s="1"/>
  <c r="O207" i="1"/>
  <c r="B77" i="6" s="1"/>
  <c r="C59" i="20" s="1"/>
  <c r="J28" i="1"/>
  <c r="C28" i="1"/>
  <c r="K492" i="1"/>
  <c r="G492" i="1"/>
  <c r="C492" i="1"/>
  <c r="C21" i="1" s="1"/>
  <c r="K491" i="1"/>
  <c r="K20" i="1" s="1"/>
  <c r="L554" i="1"/>
  <c r="G554" i="1"/>
  <c r="G675" i="1" s="1"/>
  <c r="C555" i="1"/>
  <c r="G555" i="1"/>
  <c r="G679" i="1" s="1"/>
  <c r="J672" i="1"/>
  <c r="N675" i="1"/>
  <c r="K678" i="1"/>
  <c r="M388" i="1"/>
  <c r="I388" i="1"/>
  <c r="I379" i="1" s="1"/>
  <c r="E388" i="1"/>
  <c r="L388" i="1"/>
  <c r="H388" i="1"/>
  <c r="D388" i="1"/>
  <c r="L209" i="2"/>
  <c r="O132" i="2"/>
  <c r="B93" i="7" s="1"/>
  <c r="P421" i="1"/>
  <c r="P434" i="1"/>
  <c r="K554" i="1"/>
  <c r="K675" i="1" s="1"/>
  <c r="F554" i="1"/>
  <c r="M555" i="1"/>
  <c r="E555" i="1"/>
  <c r="E679" i="1" s="1"/>
  <c r="N674" i="1"/>
  <c r="J675" i="1"/>
  <c r="O238" i="1"/>
  <c r="P238" i="1" s="1"/>
  <c r="O297" i="1"/>
  <c r="P297" i="1" s="1"/>
  <c r="O417" i="1"/>
  <c r="P417" i="1" s="1"/>
  <c r="O429" i="1"/>
  <c r="P429" i="1" s="1"/>
  <c r="O448" i="1"/>
  <c r="O324" i="1"/>
  <c r="O175" i="2"/>
  <c r="P175" i="2" s="1"/>
  <c r="H209" i="2"/>
  <c r="H202" i="2" s="1"/>
  <c r="H190" i="2" s="1"/>
  <c r="B63" i="6"/>
  <c r="Q537" i="1"/>
  <c r="C48" i="1" s="1"/>
  <c r="L541" i="1"/>
  <c r="L47" i="1" s="1"/>
  <c r="H541" i="1"/>
  <c r="D541" i="1"/>
  <c r="D660" i="1" s="1"/>
  <c r="N540" i="1"/>
  <c r="K540" i="1"/>
  <c r="K657" i="1" s="1"/>
  <c r="F540" i="1"/>
  <c r="F657" i="1" s="1"/>
  <c r="C540" i="1"/>
  <c r="C46" i="1" s="1"/>
  <c r="C42" i="1"/>
  <c r="G529" i="1"/>
  <c r="G41" i="1" s="1"/>
  <c r="C529" i="1"/>
  <c r="L516" i="1"/>
  <c r="H516" i="1"/>
  <c r="D516" i="1"/>
  <c r="D35" i="1"/>
  <c r="D514" i="1"/>
  <c r="L28" i="1"/>
  <c r="K497" i="1"/>
  <c r="G497" i="1"/>
  <c r="G606" i="1" s="1"/>
  <c r="C497" i="1"/>
  <c r="C606" i="1" s="1"/>
  <c r="J496" i="1"/>
  <c r="J603" i="1" s="1"/>
  <c r="G496" i="1"/>
  <c r="D496" i="1"/>
  <c r="D603" i="1" s="1"/>
  <c r="N493" i="1"/>
  <c r="F493" i="1"/>
  <c r="M492" i="1"/>
  <c r="I492" i="1"/>
  <c r="I599" i="1" s="1"/>
  <c r="E492" i="1"/>
  <c r="E21" i="1" s="1"/>
  <c r="N673" i="1"/>
  <c r="J674" i="1"/>
  <c r="O405" i="1"/>
  <c r="P405" i="1" s="1"/>
  <c r="P142" i="1"/>
  <c r="K541" i="1"/>
  <c r="G541" i="1"/>
  <c r="G47" i="1" s="1"/>
  <c r="C541" i="1"/>
  <c r="C658" i="1" s="1"/>
  <c r="M540" i="1"/>
  <c r="H540" i="1"/>
  <c r="E540" i="1"/>
  <c r="E657" i="1" s="1"/>
  <c r="L42" i="1"/>
  <c r="H42" i="1"/>
  <c r="K516" i="1"/>
  <c r="G516" i="1"/>
  <c r="C516" i="1"/>
  <c r="L35" i="1"/>
  <c r="D499" i="1"/>
  <c r="D28" i="1" s="1"/>
  <c r="N497" i="1"/>
  <c r="N606" i="1" s="1"/>
  <c r="J497" i="1"/>
  <c r="J26" i="1" s="1"/>
  <c r="F497" i="1"/>
  <c r="M496" i="1"/>
  <c r="M603" i="1" s="1"/>
  <c r="F496" i="1"/>
  <c r="F603" i="1" s="1"/>
  <c r="C496" i="1"/>
  <c r="D493" i="1"/>
  <c r="L492" i="1"/>
  <c r="H492" i="1"/>
  <c r="H599" i="1" s="1"/>
  <c r="D492" i="1"/>
  <c r="D599" i="1" s="1"/>
  <c r="I555" i="1"/>
  <c r="B16" i="14"/>
  <c r="D16" i="14" s="1"/>
  <c r="B14" i="6"/>
  <c r="B15" i="10"/>
  <c r="P23" i="2"/>
  <c r="B9" i="7"/>
  <c r="B8" i="15"/>
  <c r="B42" i="7"/>
  <c r="P63" i="2"/>
  <c r="C237" i="20"/>
  <c r="B45" i="7"/>
  <c r="O60" i="2"/>
  <c r="B39" i="7" s="1"/>
  <c r="L54" i="2"/>
  <c r="B33" i="6"/>
  <c r="B47" i="7"/>
  <c r="C235" i="20" s="1"/>
  <c r="C236" i="20"/>
  <c r="H54" i="2"/>
  <c r="P62" i="2"/>
  <c r="O68" i="2"/>
  <c r="B48" i="7" s="1"/>
  <c r="B41" i="7"/>
  <c r="O72" i="2"/>
  <c r="P72" i="2" s="1"/>
  <c r="O61" i="2"/>
  <c r="B44" i="7"/>
  <c r="O73" i="2"/>
  <c r="P73" i="2" s="1"/>
  <c r="P226" i="2"/>
  <c r="C189" i="20"/>
  <c r="K379" i="1"/>
  <c r="J379" i="1"/>
  <c r="C14" i="20"/>
  <c r="C223" i="20"/>
  <c r="B118" i="6"/>
  <c r="C73" i="20" s="1"/>
  <c r="C18" i="20"/>
  <c r="P354" i="1"/>
  <c r="C247" i="20"/>
  <c r="C119" i="20"/>
  <c r="P257" i="1"/>
  <c r="C123" i="20"/>
  <c r="L379" i="1"/>
  <c r="C47" i="20"/>
  <c r="B47" i="6"/>
  <c r="C20" i="20"/>
  <c r="P167" i="1"/>
  <c r="B19" i="10"/>
  <c r="P108" i="1"/>
  <c r="C22" i="20"/>
  <c r="P57" i="1"/>
  <c r="P160" i="1"/>
  <c r="P145" i="1"/>
  <c r="P176" i="2"/>
  <c r="O68" i="1"/>
  <c r="B25" i="6" s="1"/>
  <c r="C94" i="20"/>
  <c r="P168" i="1"/>
  <c r="C24" i="20"/>
  <c r="C252" i="20"/>
  <c r="P343" i="1"/>
  <c r="O166" i="1"/>
  <c r="O156" i="1" s="1"/>
  <c r="B61" i="7"/>
  <c r="O75" i="2"/>
  <c r="C40" i="14"/>
  <c r="R9" i="1"/>
  <c r="T9" i="1" s="1"/>
  <c r="D20" i="14"/>
  <c r="E66" i="1"/>
  <c r="L315" i="1"/>
  <c r="P97" i="1"/>
  <c r="C136" i="20"/>
  <c r="P161" i="1"/>
  <c r="P75" i="1"/>
  <c r="B48" i="6"/>
  <c r="C16" i="20"/>
  <c r="E20" i="14"/>
  <c r="P298" i="1"/>
  <c r="P305" i="1"/>
  <c r="C83" i="20"/>
  <c r="P362" i="1"/>
  <c r="B32" i="6"/>
  <c r="C96" i="20"/>
  <c r="E21" i="14"/>
  <c r="O11" i="2"/>
  <c r="B9" i="12" s="1"/>
  <c r="I606" i="1"/>
  <c r="K606" i="1"/>
  <c r="D606" i="1"/>
  <c r="F606" i="1"/>
  <c r="L606" i="1"/>
  <c r="M606" i="1"/>
  <c r="E606" i="1"/>
  <c r="J606" i="1"/>
  <c r="K599" i="1"/>
  <c r="G599" i="1"/>
  <c r="L599" i="1"/>
  <c r="N599" i="1"/>
  <c r="J599" i="1"/>
  <c r="M599" i="1"/>
  <c r="H606" i="1"/>
  <c r="P125" i="1"/>
  <c r="C39" i="20"/>
  <c r="D277" i="1"/>
  <c r="P332" i="1"/>
  <c r="C91" i="20"/>
  <c r="H641" i="1"/>
  <c r="F641" i="1"/>
  <c r="G658" i="1"/>
  <c r="K658" i="1"/>
  <c r="H658" i="1"/>
  <c r="J658" i="1"/>
  <c r="N658" i="1"/>
  <c r="I658" i="1"/>
  <c r="E658" i="1"/>
  <c r="D658" i="1"/>
  <c r="F658" i="1"/>
  <c r="L658" i="1"/>
  <c r="K642" i="1"/>
  <c r="J33" i="1"/>
  <c r="H19" i="1"/>
  <c r="M630" i="1"/>
  <c r="E603" i="1"/>
  <c r="N603" i="1"/>
  <c r="C14" i="1"/>
  <c r="J14" i="1"/>
  <c r="O579" i="1"/>
  <c r="G630" i="1"/>
  <c r="G40" i="1"/>
  <c r="E40" i="1"/>
  <c r="J561" i="1"/>
  <c r="J655" i="1"/>
  <c r="K459" i="1"/>
  <c r="K567" i="1"/>
  <c r="D567" i="1"/>
  <c r="C567" i="1"/>
  <c r="F567" i="1"/>
  <c r="H398" i="1"/>
  <c r="G379" i="1"/>
  <c r="J591" i="1"/>
  <c r="O441" i="1"/>
  <c r="P441" i="1" s="1"/>
  <c r="D56" i="1"/>
  <c r="D667" i="1"/>
  <c r="L56" i="1"/>
  <c r="L667" i="1"/>
  <c r="H315" i="1"/>
  <c r="L110" i="1"/>
  <c r="L107" i="1" s="1"/>
  <c r="I655" i="1"/>
  <c r="N655" i="1"/>
  <c r="F655" i="1"/>
  <c r="G655" i="1"/>
  <c r="O640" i="1"/>
  <c r="N40" i="1"/>
  <c r="M40" i="1"/>
  <c r="K40" i="1"/>
  <c r="H40" i="1"/>
  <c r="G619" i="1"/>
  <c r="E561" i="1"/>
  <c r="I561" i="1"/>
  <c r="K561" i="1"/>
  <c r="F561" i="1"/>
  <c r="E620" i="1"/>
  <c r="E31" i="1"/>
  <c r="G277" i="1"/>
  <c r="E459" i="1"/>
  <c r="I459" i="1"/>
  <c r="N10" i="1"/>
  <c r="N9" i="1" s="1"/>
  <c r="G10" i="1"/>
  <c r="G9" i="1" s="1"/>
  <c r="C10" i="1"/>
  <c r="O560" i="1"/>
  <c r="Q454" i="1"/>
  <c r="O559" i="1"/>
  <c r="L10" i="1"/>
  <c r="F10" i="1"/>
  <c r="J10" i="1"/>
  <c r="O87" i="1"/>
  <c r="E85" i="1"/>
  <c r="O116" i="1"/>
  <c r="C115" i="1"/>
  <c r="L178" i="1"/>
  <c r="H178" i="1"/>
  <c r="D178" i="1"/>
  <c r="O260" i="1"/>
  <c r="P260" i="1" s="1"/>
  <c r="H232" i="1"/>
  <c r="O381" i="1"/>
  <c r="D380" i="1"/>
  <c r="D379" i="1" s="1"/>
  <c r="E379" i="1"/>
  <c r="L656" i="1"/>
  <c r="J656" i="1"/>
  <c r="C656" i="1"/>
  <c r="F656" i="1"/>
  <c r="I656" i="1"/>
  <c r="P456" i="1"/>
  <c r="J459" i="1"/>
  <c r="M459" i="1"/>
  <c r="G459" i="1"/>
  <c r="D459" i="1"/>
  <c r="C459" i="1"/>
  <c r="P336" i="1"/>
  <c r="C95" i="20"/>
  <c r="O382" i="1"/>
  <c r="P382" i="1" s="1"/>
  <c r="H380" i="1"/>
  <c r="H379" i="1" s="1"/>
  <c r="R33" i="1"/>
  <c r="O171" i="1"/>
  <c r="C170" i="1"/>
  <c r="O179" i="1"/>
  <c r="C178" i="1"/>
  <c r="I186" i="1"/>
  <c r="E186" i="1"/>
  <c r="O194" i="1"/>
  <c r="C186" i="1"/>
  <c r="J186" i="1"/>
  <c r="C84" i="20"/>
  <c r="P323" i="1"/>
  <c r="O350" i="1"/>
  <c r="C348" i="1"/>
  <c r="O112" i="1"/>
  <c r="P112" i="1" s="1"/>
  <c r="C110" i="1"/>
  <c r="C107" i="1" s="1"/>
  <c r="O133" i="1"/>
  <c r="P151" i="1"/>
  <c r="O204" i="1"/>
  <c r="C201" i="1"/>
  <c r="O211" i="1"/>
  <c r="D209" i="1"/>
  <c r="O237" i="1"/>
  <c r="P237" i="1" s="1"/>
  <c r="D232" i="1"/>
  <c r="E232" i="1"/>
  <c r="P304" i="1"/>
  <c r="P345" i="1"/>
  <c r="O399" i="1"/>
  <c r="N459" i="1"/>
  <c r="O391" i="1"/>
  <c r="P391" i="1" s="1"/>
  <c r="C388" i="1"/>
  <c r="C379" i="1" s="1"/>
  <c r="O383" i="1"/>
  <c r="M380" i="1"/>
  <c r="J528" i="1"/>
  <c r="J40" i="1" s="1"/>
  <c r="D528" i="1"/>
  <c r="L528" i="1"/>
  <c r="L641" i="1" s="1"/>
  <c r="C528" i="1"/>
  <c r="C641" i="1" s="1"/>
  <c r="O139" i="1"/>
  <c r="O137" i="1" s="1"/>
  <c r="E137" i="1"/>
  <c r="O333" i="1"/>
  <c r="C329" i="1"/>
  <c r="C315" i="1" s="1"/>
  <c r="I348" i="1"/>
  <c r="I315" i="1" s="1"/>
  <c r="P444" i="1"/>
  <c r="O180" i="1"/>
  <c r="O411" i="1"/>
  <c r="P411" i="1" s="1"/>
  <c r="B91" i="6"/>
  <c r="P313" i="1"/>
  <c r="B33" i="14"/>
  <c r="D33" i="14" s="1"/>
  <c r="B30" i="10"/>
  <c r="E315" i="1"/>
  <c r="N134" i="1"/>
  <c r="K110" i="1"/>
  <c r="K107" i="1" s="1"/>
  <c r="H110" i="1"/>
  <c r="H107" i="1" s="1"/>
  <c r="O325" i="1"/>
  <c r="F316" i="1"/>
  <c r="F315" i="1" s="1"/>
  <c r="L33" i="1"/>
  <c r="E33" i="1"/>
  <c r="N33" i="1"/>
  <c r="K33" i="1"/>
  <c r="I33" i="1"/>
  <c r="C33" i="1"/>
  <c r="G33" i="1"/>
  <c r="G115" i="1"/>
  <c r="G114" i="1" s="1"/>
  <c r="O123" i="1"/>
  <c r="P138" i="1"/>
  <c r="C132" i="20"/>
  <c r="P155" i="1"/>
  <c r="C149" i="20"/>
  <c r="O353" i="1"/>
  <c r="N566" i="1"/>
  <c r="L566" i="1"/>
  <c r="D566" i="1"/>
  <c r="O188" i="1"/>
  <c r="P188" i="1" s="1"/>
  <c r="O282" i="1"/>
  <c r="C23" i="1"/>
  <c r="G23" i="1"/>
  <c r="K23" i="1"/>
  <c r="D23" i="1"/>
  <c r="H23" i="1"/>
  <c r="L23" i="1"/>
  <c r="F23" i="1"/>
  <c r="N23" i="1"/>
  <c r="I23" i="1"/>
  <c r="J23" i="1"/>
  <c r="E23" i="1"/>
  <c r="M23" i="1"/>
  <c r="N51" i="1"/>
  <c r="J51" i="1"/>
  <c r="F51" i="1"/>
  <c r="C51" i="1"/>
  <c r="M51" i="1"/>
  <c r="I51" i="1"/>
  <c r="E51" i="1"/>
  <c r="G51" i="1"/>
  <c r="L51" i="1"/>
  <c r="H51" i="1"/>
  <c r="D51" i="1"/>
  <c r="K51" i="1"/>
  <c r="G31" i="1"/>
  <c r="G30" i="1" s="1"/>
  <c r="F201" i="1"/>
  <c r="F169" i="1" s="1"/>
  <c r="O328" i="1"/>
  <c r="G134" i="1"/>
  <c r="H33" i="1"/>
  <c r="O290" i="1"/>
  <c r="C289" i="1"/>
  <c r="N186" i="1"/>
  <c r="N169" i="1" s="1"/>
  <c r="N277" i="1"/>
  <c r="F277" i="1"/>
  <c r="O299" i="1"/>
  <c r="O111" i="1"/>
  <c r="O320" i="1"/>
  <c r="B38" i="1"/>
  <c r="E546" i="1"/>
  <c r="D520" i="1"/>
  <c r="D38" i="1" s="1"/>
  <c r="N520" i="1"/>
  <c r="N38" i="1" s="1"/>
  <c r="N37" i="1" s="1"/>
  <c r="O174" i="1"/>
  <c r="P174" i="1" s="1"/>
  <c r="O181" i="1"/>
  <c r="O183" i="1"/>
  <c r="O184" i="1"/>
  <c r="O185" i="1"/>
  <c r="B442" i="1"/>
  <c r="O312" i="1"/>
  <c r="O346" i="1"/>
  <c r="O344" i="1" s="1"/>
  <c r="O351" i="1"/>
  <c r="O375" i="1"/>
  <c r="P375" i="1" s="1"/>
  <c r="C462" i="1"/>
  <c r="C12" i="1" s="1"/>
  <c r="J462" i="1"/>
  <c r="J12" i="1" s="1"/>
  <c r="E462" i="1"/>
  <c r="E12" i="1" s="1"/>
  <c r="O118" i="1"/>
  <c r="O287" i="1"/>
  <c r="O404" i="1"/>
  <c r="O203" i="1"/>
  <c r="P203" i="1" s="1"/>
  <c r="O202" i="1"/>
  <c r="O339" i="1"/>
  <c r="H546" i="1"/>
  <c r="O86" i="1"/>
  <c r="O175" i="1"/>
  <c r="P175" i="1" s="1"/>
  <c r="O200" i="1"/>
  <c r="O191" i="1"/>
  <c r="O198" i="1"/>
  <c r="P198" i="1" s="1"/>
  <c r="O195" i="1"/>
  <c r="O187" i="1"/>
  <c r="O393" i="1"/>
  <c r="O394" i="1"/>
  <c r="P394" i="1" s="1"/>
  <c r="O154" i="1"/>
  <c r="O235" i="1"/>
  <c r="O263" i="1"/>
  <c r="O435" i="1"/>
  <c r="L462" i="1"/>
  <c r="L12" i="1" s="1"/>
  <c r="K462" i="1"/>
  <c r="K12" i="1" s="1"/>
  <c r="K9" i="1" s="1"/>
  <c r="F462" i="1"/>
  <c r="F12" i="1" s="1"/>
  <c r="O90" i="1"/>
  <c r="O295" i="1"/>
  <c r="P295" i="1" s="1"/>
  <c r="O254" i="1"/>
  <c r="O247" i="1"/>
  <c r="P247" i="1" s="1"/>
  <c r="O390" i="1"/>
  <c r="P390" i="1" s="1"/>
  <c r="O402" i="1"/>
  <c r="B66" i="1"/>
  <c r="Q526" i="1"/>
  <c r="C531" i="1"/>
  <c r="E531" i="1"/>
  <c r="G531" i="1"/>
  <c r="I531" i="1"/>
  <c r="K531" i="1"/>
  <c r="M531" i="1"/>
  <c r="D531" i="1"/>
  <c r="L531" i="1"/>
  <c r="F531" i="1"/>
  <c r="N531" i="1"/>
  <c r="H531" i="1"/>
  <c r="B43" i="1"/>
  <c r="E26" i="1"/>
  <c r="G26" i="1"/>
  <c r="I26" i="1"/>
  <c r="K26" i="1"/>
  <c r="M26" i="1"/>
  <c r="H26" i="1"/>
  <c r="F26" i="1"/>
  <c r="N26" i="1"/>
  <c r="D26" i="1"/>
  <c r="L26" i="1"/>
  <c r="Q466" i="1"/>
  <c r="C472" i="1"/>
  <c r="G472" i="1"/>
  <c r="I472" i="1"/>
  <c r="K472" i="1"/>
  <c r="M472" i="1"/>
  <c r="D472" i="1"/>
  <c r="L472" i="1"/>
  <c r="F472" i="1"/>
  <c r="H472" i="1"/>
  <c r="J472" i="1"/>
  <c r="B15" i="1"/>
  <c r="R15" i="1" s="1"/>
  <c r="O410" i="1"/>
  <c r="O122" i="1"/>
  <c r="C121" i="1"/>
  <c r="O127" i="1"/>
  <c r="O176" i="1"/>
  <c r="P176" i="1" s="1"/>
  <c r="O193" i="1"/>
  <c r="O199" i="1"/>
  <c r="P199" i="1" s="1"/>
  <c r="O189" i="1"/>
  <c r="O284" i="1"/>
  <c r="O239" i="1"/>
  <c r="P239" i="1" s="1"/>
  <c r="O272" i="1"/>
  <c r="O293" i="1"/>
  <c r="O331" i="1"/>
  <c r="O386" i="1"/>
  <c r="O387" i="1"/>
  <c r="P387" i="1" s="1"/>
  <c r="O389" i="1"/>
  <c r="O84" i="1"/>
  <c r="O197" i="1"/>
  <c r="P197" i="1" s="1"/>
  <c r="O190" i="1"/>
  <c r="O192" i="1"/>
  <c r="O365" i="1"/>
  <c r="O363" i="1" s="1"/>
  <c r="D36" i="1"/>
  <c r="L36" i="1"/>
  <c r="O128" i="1"/>
  <c r="E472" i="1"/>
  <c r="O485" i="1"/>
  <c r="N498" i="1" s="1"/>
  <c r="E46" i="1"/>
  <c r="G46" i="1"/>
  <c r="I46" i="1"/>
  <c r="M46" i="1"/>
  <c r="Q534" i="1"/>
  <c r="C539" i="1"/>
  <c r="E539" i="1"/>
  <c r="G539" i="1"/>
  <c r="I539" i="1"/>
  <c r="K539" i="1"/>
  <c r="M539" i="1"/>
  <c r="N35" i="1"/>
  <c r="N514" i="1"/>
  <c r="L500" i="1"/>
  <c r="O129" i="1"/>
  <c r="N472" i="1"/>
  <c r="E47" i="1"/>
  <c r="I47" i="1"/>
  <c r="K47" i="1"/>
  <c r="M47" i="1"/>
  <c r="D47" i="1"/>
  <c r="F47" i="1"/>
  <c r="H47" i="1"/>
  <c r="J47" i="1"/>
  <c r="N47" i="1"/>
  <c r="C41" i="1"/>
  <c r="E41" i="1"/>
  <c r="I41" i="1"/>
  <c r="K41" i="1"/>
  <c r="M41" i="1"/>
  <c r="D41" i="1"/>
  <c r="F41" i="1"/>
  <c r="H41" i="1"/>
  <c r="J41" i="1"/>
  <c r="Q487" i="1"/>
  <c r="C500" i="1"/>
  <c r="E500" i="1"/>
  <c r="G500" i="1"/>
  <c r="I500" i="1"/>
  <c r="K500" i="1"/>
  <c r="M500" i="1"/>
  <c r="O595" i="1"/>
  <c r="D20" i="1"/>
  <c r="F20" i="1"/>
  <c r="H20" i="1"/>
  <c r="J20" i="1"/>
  <c r="M20" i="1"/>
  <c r="C20" i="1"/>
  <c r="E20" i="1"/>
  <c r="G20" i="1"/>
  <c r="I20" i="1"/>
  <c r="L20" i="1"/>
  <c r="L675" i="1"/>
  <c r="L674" i="1"/>
  <c r="L673" i="1"/>
  <c r="L672" i="1"/>
  <c r="O130" i="1"/>
  <c r="O467" i="1"/>
  <c r="E473" i="1" s="1"/>
  <c r="C35" i="1"/>
  <c r="E35" i="1"/>
  <c r="G35" i="1"/>
  <c r="I35" i="1"/>
  <c r="K35" i="1"/>
  <c r="M35" i="1"/>
  <c r="Q508" i="1"/>
  <c r="C514" i="1"/>
  <c r="E514" i="1"/>
  <c r="G514" i="1"/>
  <c r="I514" i="1"/>
  <c r="K514" i="1"/>
  <c r="M514" i="1"/>
  <c r="H500" i="1"/>
  <c r="M530" i="1"/>
  <c r="K530" i="1"/>
  <c r="I530" i="1"/>
  <c r="G530" i="1"/>
  <c r="E530" i="1"/>
  <c r="M499" i="1"/>
  <c r="M28" i="1" s="1"/>
  <c r="K499" i="1"/>
  <c r="I499" i="1"/>
  <c r="I28" i="1" s="1"/>
  <c r="G499" i="1"/>
  <c r="G28" i="1" s="1"/>
  <c r="E499" i="1"/>
  <c r="E28" i="1" s="1"/>
  <c r="D25" i="1"/>
  <c r="H25" i="1"/>
  <c r="J25" i="1"/>
  <c r="N25" i="1"/>
  <c r="D24" i="1"/>
  <c r="H24" i="1"/>
  <c r="L24" i="1"/>
  <c r="E24" i="1"/>
  <c r="I24" i="1"/>
  <c r="M24" i="1"/>
  <c r="G21" i="1"/>
  <c r="I21" i="1"/>
  <c r="K21" i="1"/>
  <c r="M21" i="1"/>
  <c r="F21" i="1"/>
  <c r="H21" i="1"/>
  <c r="J21" i="1"/>
  <c r="L21" i="1"/>
  <c r="N21" i="1"/>
  <c r="M679" i="1"/>
  <c r="M678" i="1"/>
  <c r="M677" i="1"/>
  <c r="M676" i="1"/>
  <c r="E678" i="1"/>
  <c r="E677" i="1"/>
  <c r="E676" i="1"/>
  <c r="C66" i="1"/>
  <c r="D675" i="1"/>
  <c r="D674" i="1"/>
  <c r="D673" i="1"/>
  <c r="D672" i="1"/>
  <c r="F679" i="1"/>
  <c r="F678" i="1"/>
  <c r="F677" i="1"/>
  <c r="H22" i="1"/>
  <c r="J22" i="1"/>
  <c r="N22" i="1"/>
  <c r="H675" i="1"/>
  <c r="H674" i="1"/>
  <c r="H673" i="1"/>
  <c r="H672" i="1"/>
  <c r="E675" i="1"/>
  <c r="E674" i="1"/>
  <c r="E672" i="1"/>
  <c r="I679" i="1"/>
  <c r="I678" i="1"/>
  <c r="I677" i="1"/>
  <c r="I676" i="1"/>
  <c r="M493" i="1"/>
  <c r="K493" i="1"/>
  <c r="I493" i="1"/>
  <c r="G493" i="1"/>
  <c r="E493" i="1"/>
  <c r="C493" i="1"/>
  <c r="L555" i="1"/>
  <c r="H555" i="1"/>
  <c r="D555" i="1"/>
  <c r="M672" i="1"/>
  <c r="C679" i="1"/>
  <c r="K679" i="1"/>
  <c r="O72" i="1"/>
  <c r="B29" i="6" s="1"/>
  <c r="O79" i="1"/>
  <c r="P79" i="1" s="1"/>
  <c r="I554" i="1"/>
  <c r="N555" i="1"/>
  <c r="J555" i="1"/>
  <c r="C672" i="1"/>
  <c r="K672" i="1"/>
  <c r="C673" i="1"/>
  <c r="K673" i="1"/>
  <c r="G673" i="1"/>
  <c r="K674" i="1"/>
  <c r="G674" i="1"/>
  <c r="C676" i="1"/>
  <c r="K676" i="1"/>
  <c r="C18" i="14"/>
  <c r="R44" i="1"/>
  <c r="T44" i="1" s="1"/>
  <c r="O77" i="1"/>
  <c r="P77" i="1" s="1"/>
  <c r="O70" i="1"/>
  <c r="L66" i="1"/>
  <c r="H66" i="1"/>
  <c r="D66" i="1"/>
  <c r="O67" i="1"/>
  <c r="O69" i="2"/>
  <c r="M54" i="2"/>
  <c r="I54" i="2"/>
  <c r="O57" i="2"/>
  <c r="N54" i="2"/>
  <c r="J54" i="2"/>
  <c r="F54" i="2"/>
  <c r="K54" i="2"/>
  <c r="G54" i="2"/>
  <c r="O73" i="1"/>
  <c r="K66" i="1"/>
  <c r="G66" i="1"/>
  <c r="O71" i="2"/>
  <c r="O70" i="2"/>
  <c r="O59" i="2"/>
  <c r="D54" i="2"/>
  <c r="O78" i="1"/>
  <c r="O71" i="1"/>
  <c r="O55" i="2"/>
  <c r="C54" i="2"/>
  <c r="O82" i="1"/>
  <c r="O81" i="1"/>
  <c r="O80" i="1"/>
  <c r="O74" i="1"/>
  <c r="I66" i="1"/>
  <c r="M66" i="1"/>
  <c r="O69" i="1"/>
  <c r="N66" i="1"/>
  <c r="J66" i="1"/>
  <c r="F66" i="1"/>
  <c r="P66" i="2"/>
  <c r="O58" i="2"/>
  <c r="E54" i="2"/>
  <c r="C20" i="15" l="1"/>
  <c r="C19" i="15" s="1"/>
  <c r="E15" i="2"/>
  <c r="E8" i="2" s="1"/>
  <c r="E7" i="2" s="1"/>
  <c r="F599" i="1"/>
  <c r="F598" i="1"/>
  <c r="F597" i="1"/>
  <c r="C14" i="15"/>
  <c r="C12" i="15" s="1"/>
  <c r="C5" i="15" s="1"/>
  <c r="B25" i="2"/>
  <c r="B7" i="2" s="1"/>
  <c r="C183" i="20"/>
  <c r="P219" i="2"/>
  <c r="L619" i="1"/>
  <c r="J619" i="1"/>
  <c r="M619" i="1"/>
  <c r="C619" i="1"/>
  <c r="D619" i="1"/>
  <c r="I619" i="1"/>
  <c r="L591" i="1"/>
  <c r="G591" i="1"/>
  <c r="D591" i="1"/>
  <c r="K591" i="1"/>
  <c r="I591" i="1"/>
  <c r="M591" i="1"/>
  <c r="F591" i="1"/>
  <c r="G53" i="2"/>
  <c r="G52" i="2" s="1"/>
  <c r="M36" i="1"/>
  <c r="M379" i="1"/>
  <c r="M65" i="1" s="1"/>
  <c r="M64" i="1" s="1"/>
  <c r="N619" i="1"/>
  <c r="E591" i="1"/>
  <c r="H634" i="1"/>
  <c r="O610" i="1"/>
  <c r="O611" i="1"/>
  <c r="O612" i="1"/>
  <c r="N612" i="1" s="1"/>
  <c r="J306" i="2"/>
  <c r="J305" i="2"/>
  <c r="I566" i="1"/>
  <c r="I565" i="1"/>
  <c r="P307" i="1"/>
  <c r="C267" i="20"/>
  <c r="J19" i="1"/>
  <c r="J593" i="1"/>
  <c r="O106" i="2"/>
  <c r="D565" i="1"/>
  <c r="O162" i="2"/>
  <c r="L305" i="2"/>
  <c r="L306" i="2"/>
  <c r="O150" i="2"/>
  <c r="M144" i="2"/>
  <c r="M105" i="2" s="1"/>
  <c r="P156" i="2"/>
  <c r="B97" i="7"/>
  <c r="O155" i="2"/>
  <c r="C26" i="2"/>
  <c r="C25" i="2" s="1"/>
  <c r="O27" i="2"/>
  <c r="P84" i="2"/>
  <c r="B24" i="15"/>
  <c r="D561" i="1"/>
  <c r="O214" i="2"/>
  <c r="G676" i="1"/>
  <c r="C26" i="1"/>
  <c r="O110" i="1"/>
  <c r="L561" i="1"/>
  <c r="E655" i="1"/>
  <c r="H591" i="1"/>
  <c r="I567" i="1"/>
  <c r="H593" i="1"/>
  <c r="P120" i="1"/>
  <c r="L202" i="2"/>
  <c r="L190" i="2" s="1"/>
  <c r="L53" i="2" s="1"/>
  <c r="L52" i="2" s="1"/>
  <c r="I321" i="2"/>
  <c r="I82" i="2"/>
  <c r="I80" i="2" s="1"/>
  <c r="I53" i="2" s="1"/>
  <c r="I52" i="2" s="1"/>
  <c r="I235" i="2" s="1"/>
  <c r="C229" i="2"/>
  <c r="C228" i="2" s="1"/>
  <c r="O231" i="2"/>
  <c r="K15" i="2"/>
  <c r="K8" i="2" s="1"/>
  <c r="K7" i="2" s="1"/>
  <c r="O645" i="1"/>
  <c r="O643" i="1"/>
  <c r="O644" i="1"/>
  <c r="E659" i="1"/>
  <c r="P121" i="2"/>
  <c r="O120" i="2"/>
  <c r="C561" i="1"/>
  <c r="M561" i="1"/>
  <c r="M573" i="1" s="1"/>
  <c r="N561" i="1"/>
  <c r="N573" i="1" s="1"/>
  <c r="G561" i="1"/>
  <c r="H561" i="1"/>
  <c r="H573" i="1" s="1"/>
  <c r="I642" i="1"/>
  <c r="M642" i="1"/>
  <c r="G642" i="1"/>
  <c r="N642" i="1"/>
  <c r="H642" i="1"/>
  <c r="F642" i="1"/>
  <c r="E642" i="1"/>
  <c r="G14" i="1"/>
  <c r="D14" i="1"/>
  <c r="O14" i="1" s="1"/>
  <c r="H14" i="1"/>
  <c r="O580" i="1"/>
  <c r="K14" i="1"/>
  <c r="O578" i="1"/>
  <c r="M14" i="1"/>
  <c r="L14" i="1"/>
  <c r="E14" i="1"/>
  <c r="I14" i="1"/>
  <c r="N14" i="1"/>
  <c r="B19" i="7"/>
  <c r="B17" i="7" s="1"/>
  <c r="P33" i="2"/>
  <c r="O29" i="2"/>
  <c r="C290" i="20"/>
  <c r="C287" i="20" s="1"/>
  <c r="O633" i="1"/>
  <c r="O634" i="1"/>
  <c r="O635" i="1"/>
  <c r="D21" i="1"/>
  <c r="F22" i="1"/>
  <c r="F25" i="1"/>
  <c r="F53" i="2"/>
  <c r="F52" i="2" s="1"/>
  <c r="G672" i="1"/>
  <c r="K46" i="1"/>
  <c r="N36" i="1"/>
  <c r="I36" i="1"/>
  <c r="O278" i="1"/>
  <c r="P278" i="1" s="1"/>
  <c r="J169" i="1"/>
  <c r="K655" i="1"/>
  <c r="P132" i="2"/>
  <c r="H28" i="1"/>
  <c r="I322" i="2"/>
  <c r="J9" i="2"/>
  <c r="H80" i="2"/>
  <c r="C632" i="1"/>
  <c r="C630" i="1"/>
  <c r="O17" i="2"/>
  <c r="H277" i="1"/>
  <c r="O596" i="1"/>
  <c r="O594" i="1"/>
  <c r="F306" i="2"/>
  <c r="F305" i="2"/>
  <c r="C181" i="20"/>
  <c r="P216" i="2"/>
  <c r="D592" i="1"/>
  <c r="D19" i="1"/>
  <c r="G592" i="1"/>
  <c r="P118" i="2"/>
  <c r="O117" i="2"/>
  <c r="J592" i="1"/>
  <c r="I630" i="1"/>
  <c r="G563" i="1"/>
  <c r="L563" i="1"/>
  <c r="C563" i="1"/>
  <c r="K563" i="1"/>
  <c r="J563" i="1"/>
  <c r="M563" i="1"/>
  <c r="I563" i="1"/>
  <c r="N563" i="1"/>
  <c r="D563" i="1"/>
  <c r="F563" i="1"/>
  <c r="H563" i="1"/>
  <c r="E563" i="1"/>
  <c r="F619" i="1"/>
  <c r="E599" i="1"/>
  <c r="B44" i="1"/>
  <c r="C15" i="14" s="1"/>
  <c r="N600" i="1"/>
  <c r="M9" i="1"/>
  <c r="J632" i="1"/>
  <c r="J630" i="1"/>
  <c r="C202" i="2"/>
  <c r="O208" i="2"/>
  <c r="P208" i="2" s="1"/>
  <c r="O602" i="1"/>
  <c r="O601" i="1"/>
  <c r="C601" i="1" s="1"/>
  <c r="O600" i="1"/>
  <c r="E105" i="2"/>
  <c r="N15" i="2"/>
  <c r="N8" i="2" s="1"/>
  <c r="N7" i="2" s="1"/>
  <c r="N235" i="2" s="1"/>
  <c r="D305" i="2"/>
  <c r="D306" i="2"/>
  <c r="O19" i="2"/>
  <c r="B31" i="15"/>
  <c r="B30" i="12"/>
  <c r="C190" i="2"/>
  <c r="B117" i="7"/>
  <c r="C174" i="20" s="1"/>
  <c r="P196" i="2"/>
  <c r="G565" i="1"/>
  <c r="P183" i="2"/>
  <c r="B29" i="12"/>
  <c r="N53" i="2"/>
  <c r="N52" i="2" s="1"/>
  <c r="C47" i="1"/>
  <c r="J36" i="1"/>
  <c r="E36" i="1"/>
  <c r="H619" i="1"/>
  <c r="G567" i="1"/>
  <c r="C599" i="1"/>
  <c r="O169" i="2"/>
  <c r="P169" i="2" s="1"/>
  <c r="F28" i="1"/>
  <c r="O28" i="1" s="1"/>
  <c r="L9" i="2"/>
  <c r="D42" i="1"/>
  <c r="J42" i="1"/>
  <c r="O646" i="1"/>
  <c r="N42" i="1"/>
  <c r="F42" i="1"/>
  <c r="E21" i="2"/>
  <c r="C21" i="2"/>
  <c r="C15" i="2" s="1"/>
  <c r="C8" i="2" s="1"/>
  <c r="C7" i="2" s="1"/>
  <c r="I21" i="2"/>
  <c r="I15" i="2" s="1"/>
  <c r="I8" i="2" s="1"/>
  <c r="I7" i="2" s="1"/>
  <c r="M21" i="2"/>
  <c r="M15" i="2" s="1"/>
  <c r="M8" i="2" s="1"/>
  <c r="M7" i="2" s="1"/>
  <c r="F21" i="2"/>
  <c r="F15" i="2" s="1"/>
  <c r="F8" i="2" s="1"/>
  <c r="F7" i="2" s="1"/>
  <c r="K21" i="2"/>
  <c r="D21" i="2"/>
  <c r="G21" i="2"/>
  <c r="G15" i="2" s="1"/>
  <c r="G8" i="2" s="1"/>
  <c r="G7" i="2" s="1"/>
  <c r="H21" i="2"/>
  <c r="H15" i="2" s="1"/>
  <c r="H8" i="2" s="1"/>
  <c r="H7" i="2" s="1"/>
  <c r="L21" i="2"/>
  <c r="L15" i="2" s="1"/>
  <c r="N21" i="2"/>
  <c r="J21" i="2"/>
  <c r="J15" i="2" s="1"/>
  <c r="J8" i="2" s="1"/>
  <c r="J7" i="2" s="1"/>
  <c r="D15" i="2"/>
  <c r="D8" i="2" s="1"/>
  <c r="D7" i="2" s="1"/>
  <c r="G306" i="2"/>
  <c r="G305" i="2"/>
  <c r="E155" i="2"/>
  <c r="C185" i="20"/>
  <c r="P222" i="2"/>
  <c r="B116" i="7"/>
  <c r="C173" i="20" s="1"/>
  <c r="P193" i="2"/>
  <c r="P126" i="2"/>
  <c r="O124" i="2"/>
  <c r="B58" i="7"/>
  <c r="C154" i="20" s="1"/>
  <c r="P76" i="2"/>
  <c r="I631" i="1"/>
  <c r="G602" i="1"/>
  <c r="H36" i="1"/>
  <c r="H305" i="2"/>
  <c r="H306" i="2"/>
  <c r="M593" i="1"/>
  <c r="M19" i="1"/>
  <c r="M592" i="1"/>
  <c r="D669" i="1"/>
  <c r="N669" i="1"/>
  <c r="K669" i="1"/>
  <c r="M669" i="1"/>
  <c r="G669" i="1"/>
  <c r="L669" i="1"/>
  <c r="F669" i="1"/>
  <c r="C669" i="1"/>
  <c r="J669" i="1"/>
  <c r="I669" i="1"/>
  <c r="M53" i="2"/>
  <c r="M52" i="2" s="1"/>
  <c r="N610" i="1"/>
  <c r="G36" i="1"/>
  <c r="M674" i="1"/>
  <c r="C36" i="1"/>
  <c r="K656" i="1"/>
  <c r="E619" i="1"/>
  <c r="C591" i="1"/>
  <c r="B102" i="7"/>
  <c r="B53" i="2"/>
  <c r="B52" i="2" s="1"/>
  <c r="S56" i="2" s="1"/>
  <c r="S57" i="2" s="1"/>
  <c r="C674" i="1"/>
  <c r="M673" i="1"/>
  <c r="L22" i="1"/>
  <c r="L25" i="1"/>
  <c r="K28" i="1"/>
  <c r="F36" i="1"/>
  <c r="O36" i="1" s="1"/>
  <c r="P36" i="1" s="1"/>
  <c r="O153" i="1"/>
  <c r="I169" i="1"/>
  <c r="B32" i="1"/>
  <c r="C11" i="14" s="1"/>
  <c r="E656" i="1"/>
  <c r="I10" i="1"/>
  <c r="I9" i="1" s="1"/>
  <c r="K619" i="1"/>
  <c r="N591" i="1"/>
  <c r="C573" i="1"/>
  <c r="J35" i="1"/>
  <c r="N28" i="1"/>
  <c r="I134" i="1"/>
  <c r="B23" i="12"/>
  <c r="J80" i="2"/>
  <c r="J53" i="2" s="1"/>
  <c r="J52" i="2" s="1"/>
  <c r="L134" i="1"/>
  <c r="B26" i="7"/>
  <c r="D105" i="2"/>
  <c r="D53" i="2" s="1"/>
  <c r="D52" i="2" s="1"/>
  <c r="D235" i="2" s="1"/>
  <c r="K305" i="2"/>
  <c r="K306" i="2"/>
  <c r="I38" i="1"/>
  <c r="I37" i="1" s="1"/>
  <c r="K38" i="1"/>
  <c r="K37" i="1" s="1"/>
  <c r="J38" i="1"/>
  <c r="J37" i="1" s="1"/>
  <c r="E566" i="1"/>
  <c r="E10" i="1"/>
  <c r="E9" i="1" s="1"/>
  <c r="E567" i="1"/>
  <c r="E573" i="1" s="1"/>
  <c r="L618" i="1"/>
  <c r="J618" i="1"/>
  <c r="N618" i="1"/>
  <c r="D618" i="1"/>
  <c r="C618" i="1"/>
  <c r="M618" i="1"/>
  <c r="F618" i="1"/>
  <c r="H618" i="1"/>
  <c r="I618" i="1"/>
  <c r="G618" i="1"/>
  <c r="K618" i="1"/>
  <c r="O178" i="2"/>
  <c r="P181" i="2"/>
  <c r="D33" i="1"/>
  <c r="O625" i="1"/>
  <c r="M33" i="1"/>
  <c r="O33" i="1" s="1"/>
  <c r="O626" i="1"/>
  <c r="O624" i="1"/>
  <c r="G19" i="1"/>
  <c r="K25" i="2"/>
  <c r="J631" i="1"/>
  <c r="O316" i="1"/>
  <c r="L597" i="1"/>
  <c r="L598" i="1"/>
  <c r="K633" i="1"/>
  <c r="K634" i="1"/>
  <c r="K635" i="1"/>
  <c r="H655" i="1"/>
  <c r="H656" i="1"/>
  <c r="H657" i="1"/>
  <c r="K659" i="1"/>
  <c r="K660" i="1"/>
  <c r="E597" i="1"/>
  <c r="E598" i="1"/>
  <c r="M25" i="1"/>
  <c r="C643" i="1"/>
  <c r="C644" i="1"/>
  <c r="H660" i="1"/>
  <c r="H659" i="1"/>
  <c r="F674" i="1"/>
  <c r="F675" i="1"/>
  <c r="F672" i="1"/>
  <c r="F673" i="1"/>
  <c r="K597" i="1"/>
  <c r="K598" i="1"/>
  <c r="H310" i="2"/>
  <c r="M310" i="2"/>
  <c r="C310" i="2"/>
  <c r="K310" i="2"/>
  <c r="G310" i="2"/>
  <c r="N310" i="2"/>
  <c r="I310" i="2"/>
  <c r="J310" i="2"/>
  <c r="L310" i="2"/>
  <c r="E310" i="2"/>
  <c r="F310" i="2"/>
  <c r="D310" i="2"/>
  <c r="F317" i="2"/>
  <c r="K317" i="2"/>
  <c r="D317" i="2"/>
  <c r="N317" i="2"/>
  <c r="H317" i="2"/>
  <c r="I317" i="2"/>
  <c r="G317" i="2"/>
  <c r="M317" i="2"/>
  <c r="L317" i="2"/>
  <c r="J317" i="2"/>
  <c r="C317" i="2"/>
  <c r="E317" i="2"/>
  <c r="H46" i="1"/>
  <c r="O83" i="2"/>
  <c r="D659" i="1"/>
  <c r="E169" i="1"/>
  <c r="C114" i="1"/>
  <c r="D601" i="1"/>
  <c r="D600" i="1"/>
  <c r="F604" i="1"/>
  <c r="F605" i="1"/>
  <c r="M657" i="1"/>
  <c r="M655" i="1"/>
  <c r="M656" i="1"/>
  <c r="I597" i="1"/>
  <c r="I598" i="1"/>
  <c r="C604" i="1"/>
  <c r="C605" i="1"/>
  <c r="D634" i="1"/>
  <c r="D633" i="1"/>
  <c r="G643" i="1"/>
  <c r="G644" i="1"/>
  <c r="G645" i="1"/>
  <c r="L659" i="1"/>
  <c r="L660" i="1"/>
  <c r="G677" i="1"/>
  <c r="G678" i="1"/>
  <c r="K594" i="1"/>
  <c r="K596" i="1"/>
  <c r="M311" i="2"/>
  <c r="C311" i="2"/>
  <c r="K311" i="2"/>
  <c r="G311" i="2"/>
  <c r="N311" i="2"/>
  <c r="I311" i="2"/>
  <c r="J311" i="2"/>
  <c r="L311" i="2"/>
  <c r="E311" i="2"/>
  <c r="F311" i="2"/>
  <c r="D311" i="2"/>
  <c r="H311" i="2"/>
  <c r="O9" i="2"/>
  <c r="P44" i="2"/>
  <c r="B16" i="12"/>
  <c r="B16" i="15"/>
  <c r="D598" i="1"/>
  <c r="D597" i="1"/>
  <c r="C25" i="1"/>
  <c r="C603" i="1"/>
  <c r="J604" i="1"/>
  <c r="J605" i="1"/>
  <c r="C634" i="1"/>
  <c r="C633" i="1"/>
  <c r="C659" i="1"/>
  <c r="C660" i="1"/>
  <c r="M597" i="1"/>
  <c r="M598" i="1"/>
  <c r="G25" i="1"/>
  <c r="G603" i="1"/>
  <c r="G605" i="1"/>
  <c r="G604" i="1"/>
  <c r="H633" i="1"/>
  <c r="N656" i="1"/>
  <c r="N657" i="1"/>
  <c r="E48" i="1"/>
  <c r="G48" i="1"/>
  <c r="I48" i="1"/>
  <c r="K48" i="1"/>
  <c r="M48" i="1"/>
  <c r="D48" i="1"/>
  <c r="F48" i="1"/>
  <c r="H48" i="1"/>
  <c r="J48" i="1"/>
  <c r="L48" i="1"/>
  <c r="N48" i="1"/>
  <c r="O663" i="1"/>
  <c r="O662" i="1"/>
  <c r="O661" i="1"/>
  <c r="C677" i="1"/>
  <c r="C678" i="1"/>
  <c r="C598" i="1"/>
  <c r="C597" i="1"/>
  <c r="B125" i="6"/>
  <c r="P446" i="1"/>
  <c r="P117" i="1"/>
  <c r="C30" i="20"/>
  <c r="E305" i="2"/>
  <c r="E306" i="2"/>
  <c r="H315" i="2"/>
  <c r="I315" i="2"/>
  <c r="J315" i="2"/>
  <c r="C315" i="2"/>
  <c r="M315" i="2"/>
  <c r="F315" i="2"/>
  <c r="K315" i="2"/>
  <c r="L315" i="2"/>
  <c r="E315" i="2"/>
  <c r="N315" i="2"/>
  <c r="D315" i="2"/>
  <c r="G315" i="2"/>
  <c r="N46" i="1"/>
  <c r="O24" i="1"/>
  <c r="H598" i="1"/>
  <c r="H597" i="1"/>
  <c r="N605" i="1"/>
  <c r="N604" i="1"/>
  <c r="G633" i="1"/>
  <c r="G634" i="1"/>
  <c r="G660" i="1"/>
  <c r="G659" i="1"/>
  <c r="F602" i="1"/>
  <c r="F600" i="1"/>
  <c r="F601" i="1"/>
  <c r="K604" i="1"/>
  <c r="K605" i="1"/>
  <c r="L633" i="1"/>
  <c r="L634" i="1"/>
  <c r="L635" i="1"/>
  <c r="C657" i="1"/>
  <c r="C655" i="1"/>
  <c r="B42" i="14"/>
  <c r="P448" i="1"/>
  <c r="B127" i="6"/>
  <c r="B39" i="10"/>
  <c r="G597" i="1"/>
  <c r="G598" i="1"/>
  <c r="C46" i="20"/>
  <c r="P131" i="1"/>
  <c r="B124" i="6"/>
  <c r="B122" i="6" s="1"/>
  <c r="B121" i="6" s="1"/>
  <c r="P445" i="1"/>
  <c r="C80" i="2"/>
  <c r="C53" i="2" s="1"/>
  <c r="C52" i="2" s="1"/>
  <c r="O82" i="2"/>
  <c r="O209" i="2"/>
  <c r="C312" i="2"/>
  <c r="L312" i="2"/>
  <c r="K312" i="2"/>
  <c r="G312" i="2"/>
  <c r="N312" i="2"/>
  <c r="D312" i="2"/>
  <c r="I312" i="2"/>
  <c r="J312" i="2"/>
  <c r="H312" i="2"/>
  <c r="E312" i="2"/>
  <c r="F312" i="2"/>
  <c r="M312" i="2"/>
  <c r="L316" i="2"/>
  <c r="J316" i="2"/>
  <c r="C316" i="2"/>
  <c r="M316" i="2"/>
  <c r="F316" i="2"/>
  <c r="K316" i="2"/>
  <c r="D316" i="2"/>
  <c r="E316" i="2"/>
  <c r="N316" i="2"/>
  <c r="H316" i="2"/>
  <c r="G316" i="2"/>
  <c r="I316" i="2"/>
  <c r="F46" i="1"/>
  <c r="O46" i="1" s="1"/>
  <c r="D18" i="18"/>
  <c r="D30" i="15"/>
  <c r="E30" i="15"/>
  <c r="B25" i="12"/>
  <c r="B84" i="7"/>
  <c r="P96" i="2"/>
  <c r="B26" i="15"/>
  <c r="D8" i="15"/>
  <c r="E8" i="15"/>
  <c r="P60" i="2"/>
  <c r="P68" i="2"/>
  <c r="D15" i="26"/>
  <c r="D7" i="26"/>
  <c r="D8" i="26" s="1"/>
  <c r="D9" i="26" s="1"/>
  <c r="D12" i="26" s="1"/>
  <c r="B52" i="7"/>
  <c r="B235" i="2"/>
  <c r="B53" i="7"/>
  <c r="B40" i="7"/>
  <c r="P61" i="2"/>
  <c r="B36" i="6"/>
  <c r="O370" i="1"/>
  <c r="H169" i="1"/>
  <c r="I65" i="1"/>
  <c r="I64" i="1" s="1"/>
  <c r="C167" i="20"/>
  <c r="F65" i="1"/>
  <c r="F64" i="1" s="1"/>
  <c r="D169" i="1"/>
  <c r="D65" i="1" s="1"/>
  <c r="D64" i="1" s="1"/>
  <c r="P68" i="1"/>
  <c r="B34" i="6"/>
  <c r="B28" i="12"/>
  <c r="L65" i="1"/>
  <c r="L64" i="1" s="1"/>
  <c r="C202" i="20"/>
  <c r="C193" i="20" s="1"/>
  <c r="P166" i="1"/>
  <c r="P75" i="2"/>
  <c r="B63" i="7"/>
  <c r="B22" i="15"/>
  <c r="B21" i="12"/>
  <c r="B57" i="7"/>
  <c r="C157" i="20"/>
  <c r="C152" i="20" s="1"/>
  <c r="G65" i="1"/>
  <c r="G64" i="1" s="1"/>
  <c r="P72" i="1"/>
  <c r="O232" i="1"/>
  <c r="P232" i="1" s="1"/>
  <c r="B9" i="15"/>
  <c r="D9" i="15" s="1"/>
  <c r="P11" i="2"/>
  <c r="B10" i="7"/>
  <c r="B96" i="6"/>
  <c r="P344" i="1"/>
  <c r="C101" i="20"/>
  <c r="B36" i="14"/>
  <c r="P363" i="1"/>
  <c r="B33" i="10"/>
  <c r="C242" i="20"/>
  <c r="J65" i="1"/>
  <c r="J64" i="1" s="1"/>
  <c r="N679" i="1"/>
  <c r="N678" i="1"/>
  <c r="N676" i="1"/>
  <c r="N677" i="1"/>
  <c r="N65" i="1"/>
  <c r="N64" i="1" s="1"/>
  <c r="I675" i="1"/>
  <c r="I674" i="1"/>
  <c r="I673" i="1"/>
  <c r="I672" i="1"/>
  <c r="C22" i="1"/>
  <c r="C600" i="1"/>
  <c r="K22" i="1"/>
  <c r="K600" i="1"/>
  <c r="K42" i="1"/>
  <c r="K39" i="1" s="1"/>
  <c r="K646" i="1"/>
  <c r="O35" i="1"/>
  <c r="P35" i="1" s="1"/>
  <c r="C45" i="20"/>
  <c r="P130" i="1"/>
  <c r="D29" i="1"/>
  <c r="F29" i="1"/>
  <c r="H29" i="1"/>
  <c r="J29" i="1"/>
  <c r="L29" i="1"/>
  <c r="N29" i="1"/>
  <c r="C29" i="1"/>
  <c r="E29" i="1"/>
  <c r="G29" i="1"/>
  <c r="I29" i="1"/>
  <c r="K29" i="1"/>
  <c r="M29" i="1"/>
  <c r="O614" i="1"/>
  <c r="O613" i="1"/>
  <c r="O615" i="1"/>
  <c r="O41" i="1"/>
  <c r="P41" i="1" s="1"/>
  <c r="O47" i="1"/>
  <c r="P47" i="1" s="1"/>
  <c r="D45" i="1"/>
  <c r="D44" i="1" s="1"/>
  <c r="F45" i="1"/>
  <c r="H45" i="1"/>
  <c r="H44" i="1" s="1"/>
  <c r="J45" i="1"/>
  <c r="L45" i="1"/>
  <c r="L44" i="1" s="1"/>
  <c r="N45" i="1"/>
  <c r="N44" i="1" s="1"/>
  <c r="C45" i="1"/>
  <c r="E45" i="1"/>
  <c r="E44" i="1" s="1"/>
  <c r="G45" i="1"/>
  <c r="G44" i="1" s="1"/>
  <c r="I45" i="1"/>
  <c r="I44" i="1" s="1"/>
  <c r="K45" i="1"/>
  <c r="K44" i="1" s="1"/>
  <c r="M45" i="1"/>
  <c r="M44" i="1" s="1"/>
  <c r="O654" i="1"/>
  <c r="O653" i="1"/>
  <c r="D498" i="1"/>
  <c r="F498" i="1"/>
  <c r="H498" i="1"/>
  <c r="J498" i="1"/>
  <c r="L498" i="1"/>
  <c r="Q485" i="1"/>
  <c r="G498" i="1"/>
  <c r="I498" i="1"/>
  <c r="C498" i="1"/>
  <c r="K498" i="1"/>
  <c r="M498" i="1"/>
  <c r="B27" i="1"/>
  <c r="E498" i="1"/>
  <c r="O476" i="1"/>
  <c r="P485" i="1" s="1"/>
  <c r="B94" i="6"/>
  <c r="P316" i="1"/>
  <c r="C78" i="20"/>
  <c r="O388" i="1"/>
  <c r="P389" i="1"/>
  <c r="O292" i="1"/>
  <c r="C257" i="20"/>
  <c r="P293" i="1"/>
  <c r="P189" i="1"/>
  <c r="O126" i="1"/>
  <c r="C42" i="20"/>
  <c r="P127" i="1"/>
  <c r="T15" i="1"/>
  <c r="B39" i="1"/>
  <c r="C14" i="14" s="1"/>
  <c r="R43" i="1"/>
  <c r="D43" i="1"/>
  <c r="F43" i="1"/>
  <c r="F39" i="1" s="1"/>
  <c r="H43" i="1"/>
  <c r="J43" i="1"/>
  <c r="L43" i="1"/>
  <c r="N43" i="1"/>
  <c r="C43" i="1"/>
  <c r="E43" i="1"/>
  <c r="G43" i="1"/>
  <c r="I43" i="1"/>
  <c r="K43" i="1"/>
  <c r="M43" i="1"/>
  <c r="O647" i="1"/>
  <c r="O649" i="1"/>
  <c r="O648" i="1"/>
  <c r="O152" i="1"/>
  <c r="P152" i="1" s="1"/>
  <c r="B65" i="6"/>
  <c r="P153" i="1"/>
  <c r="C147" i="20"/>
  <c r="C148" i="20"/>
  <c r="P154" i="1"/>
  <c r="B66" i="6"/>
  <c r="P195" i="1"/>
  <c r="O201" i="1"/>
  <c r="P202" i="1"/>
  <c r="P118" i="1"/>
  <c r="C31" i="20"/>
  <c r="P181" i="1"/>
  <c r="E667" i="1"/>
  <c r="E668" i="1"/>
  <c r="E56" i="1"/>
  <c r="E669" i="1"/>
  <c r="P110" i="1"/>
  <c r="B49" i="6"/>
  <c r="B46" i="6" s="1"/>
  <c r="O23" i="1"/>
  <c r="P137" i="1"/>
  <c r="B61" i="6"/>
  <c r="C85" i="20"/>
  <c r="P325" i="1"/>
  <c r="B41" i="14"/>
  <c r="P443" i="1"/>
  <c r="B38" i="10"/>
  <c r="B37" i="10" s="1"/>
  <c r="O442" i="1"/>
  <c r="P442" i="1" s="1"/>
  <c r="D40" i="1"/>
  <c r="D642" i="1"/>
  <c r="P211" i="1"/>
  <c r="O209" i="1"/>
  <c r="O170" i="1"/>
  <c r="P171" i="1"/>
  <c r="L9" i="1"/>
  <c r="N560" i="1"/>
  <c r="L560" i="1"/>
  <c r="K560" i="1"/>
  <c r="F560" i="1"/>
  <c r="D560" i="1"/>
  <c r="G560" i="1"/>
  <c r="H560" i="1"/>
  <c r="C560" i="1"/>
  <c r="M560" i="1"/>
  <c r="J560" i="1"/>
  <c r="E560" i="1"/>
  <c r="I560" i="1"/>
  <c r="E30" i="1"/>
  <c r="O30" i="1" s="1"/>
  <c r="O31" i="1"/>
  <c r="P31" i="1" s="1"/>
  <c r="I573" i="1"/>
  <c r="C40" i="1"/>
  <c r="C602" i="1"/>
  <c r="K602" i="1"/>
  <c r="D678" i="1"/>
  <c r="D677" i="1"/>
  <c r="D676" i="1"/>
  <c r="D679" i="1"/>
  <c r="E22" i="1"/>
  <c r="E600" i="1"/>
  <c r="M22" i="1"/>
  <c r="M601" i="1"/>
  <c r="M602" i="1"/>
  <c r="M600" i="1"/>
  <c r="E42" i="1"/>
  <c r="E39" i="1" s="1"/>
  <c r="E646" i="1"/>
  <c r="M42" i="1"/>
  <c r="M39" i="1" s="1"/>
  <c r="M646" i="1"/>
  <c r="K595" i="1"/>
  <c r="L595" i="1"/>
  <c r="F595" i="1"/>
  <c r="H595" i="1"/>
  <c r="D595" i="1"/>
  <c r="E595" i="1"/>
  <c r="N595" i="1"/>
  <c r="I595" i="1"/>
  <c r="J595" i="1"/>
  <c r="C595" i="1"/>
  <c r="M595" i="1"/>
  <c r="G595" i="1"/>
  <c r="P190" i="1"/>
  <c r="P272" i="1"/>
  <c r="C26" i="14"/>
  <c r="C25" i="14" s="1"/>
  <c r="C24" i="14" s="1"/>
  <c r="C10" i="23" s="1"/>
  <c r="B65" i="1"/>
  <c r="B64" i="1" s="1"/>
  <c r="P254" i="1"/>
  <c r="P435" i="1"/>
  <c r="O85" i="1"/>
  <c r="P86" i="1"/>
  <c r="B43" i="6"/>
  <c r="C5" i="20"/>
  <c r="C114" i="20"/>
  <c r="P351" i="1"/>
  <c r="P185" i="1"/>
  <c r="B37" i="1"/>
  <c r="C12" i="14" s="1"/>
  <c r="R38" i="1"/>
  <c r="P299" i="1"/>
  <c r="C259" i="20"/>
  <c r="C277" i="1"/>
  <c r="P328" i="1"/>
  <c r="C87" i="20"/>
  <c r="O348" i="1"/>
  <c r="P123" i="1"/>
  <c r="C37" i="20"/>
  <c r="O424" i="1"/>
  <c r="P139" i="1"/>
  <c r="C133" i="20"/>
  <c r="C131" i="20" s="1"/>
  <c r="J642" i="1"/>
  <c r="J641" i="1"/>
  <c r="O107" i="1"/>
  <c r="T33" i="1"/>
  <c r="R32" i="1"/>
  <c r="T32" i="1" s="1"/>
  <c r="C6" i="20"/>
  <c r="P87" i="1"/>
  <c r="G559" i="1"/>
  <c r="L559" i="1"/>
  <c r="F559" i="1"/>
  <c r="O558" i="1"/>
  <c r="P562" i="1" s="1"/>
  <c r="K559" i="1"/>
  <c r="E559" i="1"/>
  <c r="J559" i="1"/>
  <c r="D559" i="1"/>
  <c r="I559" i="1"/>
  <c r="N559" i="1"/>
  <c r="M559" i="1"/>
  <c r="Q559" i="1"/>
  <c r="Q558" i="1" s="1"/>
  <c r="C559" i="1"/>
  <c r="H559" i="1"/>
  <c r="C9" i="1"/>
  <c r="O10" i="1"/>
  <c r="D573" i="1"/>
  <c r="K640" i="1"/>
  <c r="J640" i="1"/>
  <c r="I640" i="1"/>
  <c r="G640" i="1"/>
  <c r="D640" i="1"/>
  <c r="N640" i="1"/>
  <c r="F640" i="1"/>
  <c r="M640" i="1"/>
  <c r="L640" i="1"/>
  <c r="C640" i="1"/>
  <c r="E640" i="1"/>
  <c r="H640" i="1"/>
  <c r="L55" i="1"/>
  <c r="G573" i="1"/>
  <c r="D641" i="1"/>
  <c r="E602" i="1"/>
  <c r="J679" i="1"/>
  <c r="J678" i="1"/>
  <c r="J677" i="1"/>
  <c r="J676" i="1"/>
  <c r="H678" i="1"/>
  <c r="H677" i="1"/>
  <c r="H676" i="1"/>
  <c r="H679" i="1"/>
  <c r="G22" i="1"/>
  <c r="G600" i="1"/>
  <c r="G601" i="1"/>
  <c r="G42" i="1"/>
  <c r="G39" i="1" s="1"/>
  <c r="G646" i="1"/>
  <c r="D34" i="1"/>
  <c r="D32" i="1" s="1"/>
  <c r="F34" i="1"/>
  <c r="H34" i="1"/>
  <c r="J34" i="1"/>
  <c r="J32" i="1" s="1"/>
  <c r="L34" i="1"/>
  <c r="L32" i="1" s="1"/>
  <c r="N34" i="1"/>
  <c r="N32" i="1" s="1"/>
  <c r="C34" i="1"/>
  <c r="E34" i="1"/>
  <c r="E32" i="1" s="1"/>
  <c r="G34" i="1"/>
  <c r="I34" i="1"/>
  <c r="K34" i="1"/>
  <c r="K32" i="1" s="1"/>
  <c r="M34" i="1"/>
  <c r="O627" i="1"/>
  <c r="O628" i="1"/>
  <c r="O629" i="1"/>
  <c r="C473" i="1"/>
  <c r="G473" i="1"/>
  <c r="I473" i="1"/>
  <c r="K473" i="1"/>
  <c r="M473" i="1"/>
  <c r="D473" i="1"/>
  <c r="F473" i="1"/>
  <c r="H473" i="1"/>
  <c r="J473" i="1"/>
  <c r="L473" i="1"/>
  <c r="N473" i="1"/>
  <c r="Q467" i="1"/>
  <c r="O464" i="1"/>
  <c r="B16" i="1"/>
  <c r="R16" i="1" s="1"/>
  <c r="T16" i="1" s="1"/>
  <c r="P467" i="1"/>
  <c r="O20" i="1"/>
  <c r="P20" i="1" s="1"/>
  <c r="P129" i="1"/>
  <c r="C44" i="20"/>
  <c r="C43" i="20"/>
  <c r="P128" i="1"/>
  <c r="O385" i="1"/>
  <c r="P386" i="1"/>
  <c r="P193" i="1"/>
  <c r="O121" i="1"/>
  <c r="C36" i="20"/>
  <c r="C35" i="20" s="1"/>
  <c r="P122" i="1"/>
  <c r="P402" i="1"/>
  <c r="P263" i="1"/>
  <c r="O392" i="1"/>
  <c r="P393" i="1"/>
  <c r="P191" i="1"/>
  <c r="H56" i="1"/>
  <c r="H668" i="1"/>
  <c r="H667" i="1"/>
  <c r="H669" i="1"/>
  <c r="P404" i="1"/>
  <c r="O369" i="1"/>
  <c r="P370" i="1"/>
  <c r="B108" i="6"/>
  <c r="B107" i="6" s="1"/>
  <c r="P346" i="1"/>
  <c r="C104" i="20"/>
  <c r="P184" i="1"/>
  <c r="O289" i="1"/>
  <c r="P290" i="1"/>
  <c r="C254" i="20"/>
  <c r="C246" i="20"/>
  <c r="P282" i="1"/>
  <c r="I32" i="1"/>
  <c r="P180" i="1"/>
  <c r="O398" i="1"/>
  <c r="P399" i="1"/>
  <c r="P204" i="1"/>
  <c r="C49" i="20"/>
  <c r="B55" i="6"/>
  <c r="P133" i="1"/>
  <c r="P350" i="1"/>
  <c r="C113" i="20"/>
  <c r="J9" i="1"/>
  <c r="F573" i="1"/>
  <c r="L573" i="1"/>
  <c r="H39" i="1"/>
  <c r="L40" i="1"/>
  <c r="J573" i="1"/>
  <c r="C642" i="1"/>
  <c r="L678" i="1"/>
  <c r="L677" i="1"/>
  <c r="L676" i="1"/>
  <c r="L679" i="1"/>
  <c r="I22" i="1"/>
  <c r="I600" i="1"/>
  <c r="I601" i="1"/>
  <c r="O21" i="1"/>
  <c r="I42" i="1"/>
  <c r="I646" i="1"/>
  <c r="N611" i="1"/>
  <c r="B101" i="6"/>
  <c r="B99" i="6" s="1"/>
  <c r="P365" i="1"/>
  <c r="B40" i="6"/>
  <c r="P84" i="1"/>
  <c r="C225" i="20"/>
  <c r="O329" i="1"/>
  <c r="C90" i="20"/>
  <c r="P331" i="1"/>
  <c r="C248" i="20"/>
  <c r="P284" i="1"/>
  <c r="P410" i="1"/>
  <c r="D15" i="1"/>
  <c r="F15" i="1"/>
  <c r="H15" i="1"/>
  <c r="J15" i="1"/>
  <c r="L15" i="1"/>
  <c r="N15" i="1"/>
  <c r="C15" i="1"/>
  <c r="E15" i="1"/>
  <c r="G15" i="1"/>
  <c r="I15" i="1"/>
  <c r="K15" i="1"/>
  <c r="M15" i="1"/>
  <c r="O583" i="1"/>
  <c r="O581" i="1"/>
  <c r="O582" i="1"/>
  <c r="O26" i="1"/>
  <c r="P26" i="1" s="1"/>
  <c r="P90" i="1"/>
  <c r="C9" i="20"/>
  <c r="P235" i="1"/>
  <c r="O186" i="1"/>
  <c r="P187" i="1"/>
  <c r="P200" i="1"/>
  <c r="P339" i="1"/>
  <c r="C98" i="20"/>
  <c r="B31" i="14"/>
  <c r="B28" i="10"/>
  <c r="P156" i="1"/>
  <c r="B68" i="6"/>
  <c r="C251" i="20"/>
  <c r="P287" i="1"/>
  <c r="O12" i="1"/>
  <c r="P12" i="1" s="1"/>
  <c r="C272" i="20"/>
  <c r="P312" i="1"/>
  <c r="O182" i="1"/>
  <c r="P183" i="1"/>
  <c r="D37" i="1"/>
  <c r="P320" i="1"/>
  <c r="C82" i="20"/>
  <c r="H32" i="1"/>
  <c r="O301" i="1"/>
  <c r="C116" i="20"/>
  <c r="P353" i="1"/>
  <c r="G32" i="1"/>
  <c r="P333" i="1"/>
  <c r="C92" i="20"/>
  <c r="P383" i="1"/>
  <c r="P194" i="1"/>
  <c r="O178" i="1"/>
  <c r="P179" i="1"/>
  <c r="C169" i="1"/>
  <c r="O380" i="1"/>
  <c r="P381" i="1"/>
  <c r="O115" i="1"/>
  <c r="P116" i="1"/>
  <c r="C29" i="20"/>
  <c r="F9" i="1"/>
  <c r="K573" i="1"/>
  <c r="N39" i="1"/>
  <c r="D55" i="1"/>
  <c r="O56" i="1"/>
  <c r="G579" i="1"/>
  <c r="H579" i="1"/>
  <c r="N579" i="1"/>
  <c r="M579" i="1"/>
  <c r="E579" i="1"/>
  <c r="D579" i="1"/>
  <c r="C579" i="1"/>
  <c r="F579" i="1"/>
  <c r="K579" i="1"/>
  <c r="I579" i="1"/>
  <c r="L579" i="1"/>
  <c r="J579" i="1"/>
  <c r="L642" i="1"/>
  <c r="I602" i="1"/>
  <c r="B27" i="6"/>
  <c r="P70" i="1"/>
  <c r="B38" i="6"/>
  <c r="P81" i="1"/>
  <c r="C220" i="20"/>
  <c r="P67" i="1"/>
  <c r="O66" i="1"/>
  <c r="B24" i="6"/>
  <c r="B39" i="6"/>
  <c r="P82" i="1"/>
  <c r="P59" i="2"/>
  <c r="B38" i="7"/>
  <c r="P58" i="2"/>
  <c r="C232" i="20"/>
  <c r="B37" i="7"/>
  <c r="B28" i="6"/>
  <c r="P71" i="1"/>
  <c r="B50" i="7"/>
  <c r="P70" i="2"/>
  <c r="P73" i="1"/>
  <c r="B30" i="6"/>
  <c r="P57" i="2"/>
  <c r="B36" i="7"/>
  <c r="C222" i="20"/>
  <c r="B31" i="6"/>
  <c r="P74" i="1"/>
  <c r="B26" i="6"/>
  <c r="P69" i="1"/>
  <c r="C221" i="20"/>
  <c r="B37" i="6"/>
  <c r="P80" i="1"/>
  <c r="O54" i="2"/>
  <c r="C231" i="20"/>
  <c r="P55" i="2"/>
  <c r="B34" i="7"/>
  <c r="B35" i="6"/>
  <c r="P78" i="1"/>
  <c r="B51" i="7"/>
  <c r="P71" i="2"/>
  <c r="P69" i="2"/>
  <c r="B49" i="7"/>
  <c r="J235" i="2" l="1"/>
  <c r="B100" i="7"/>
  <c r="E635" i="1"/>
  <c r="M635" i="1"/>
  <c r="J635" i="1"/>
  <c r="I635" i="1"/>
  <c r="N635" i="1"/>
  <c r="F635" i="1"/>
  <c r="I39" i="1"/>
  <c r="F32" i="1"/>
  <c r="D39" i="1"/>
  <c r="J39" i="1"/>
  <c r="B29" i="15"/>
  <c r="L625" i="1"/>
  <c r="G625" i="1"/>
  <c r="N625" i="1"/>
  <c r="C625" i="1"/>
  <c r="D625" i="1"/>
  <c r="M625" i="1"/>
  <c r="I625" i="1"/>
  <c r="H625" i="1"/>
  <c r="K625" i="1"/>
  <c r="E625" i="1"/>
  <c r="F625" i="1"/>
  <c r="J625" i="1"/>
  <c r="M235" i="2"/>
  <c r="E634" i="1"/>
  <c r="M634" i="1"/>
  <c r="N634" i="1"/>
  <c r="J634" i="1"/>
  <c r="I634" i="1"/>
  <c r="F634" i="1"/>
  <c r="E644" i="1"/>
  <c r="N644" i="1"/>
  <c r="F644" i="1"/>
  <c r="K644" i="1"/>
  <c r="H644" i="1"/>
  <c r="M644" i="1"/>
  <c r="I644" i="1"/>
  <c r="D644" i="1"/>
  <c r="J644" i="1"/>
  <c r="L644" i="1"/>
  <c r="O26" i="2"/>
  <c r="B15" i="7"/>
  <c r="B14" i="7" s="1"/>
  <c r="B13" i="7" s="1"/>
  <c r="P27" i="2"/>
  <c r="O19" i="1"/>
  <c r="P19" i="1" s="1"/>
  <c r="E601" i="1"/>
  <c r="C635" i="1"/>
  <c r="L8" i="2"/>
  <c r="L7" i="2" s="1"/>
  <c r="L235" i="2" s="1"/>
  <c r="H600" i="1"/>
  <c r="L600" i="1"/>
  <c r="J600" i="1"/>
  <c r="C279" i="20"/>
  <c r="P17" i="2"/>
  <c r="F235" i="2"/>
  <c r="J633" i="1"/>
  <c r="M633" i="1"/>
  <c r="F633" i="1"/>
  <c r="E633" i="1"/>
  <c r="I633" i="1"/>
  <c r="N633" i="1"/>
  <c r="F643" i="1"/>
  <c r="E643" i="1"/>
  <c r="M643" i="1"/>
  <c r="K643" i="1"/>
  <c r="D643" i="1"/>
  <c r="N643" i="1"/>
  <c r="I643" i="1"/>
  <c r="H643" i="1"/>
  <c r="J643" i="1"/>
  <c r="L643" i="1"/>
  <c r="B98" i="7"/>
  <c r="P162" i="2"/>
  <c r="O21" i="2"/>
  <c r="J601" i="1"/>
  <c r="H601" i="1"/>
  <c r="L601" i="1"/>
  <c r="N601" i="1"/>
  <c r="J645" i="1"/>
  <c r="N645" i="1"/>
  <c r="D645" i="1"/>
  <c r="I645" i="1"/>
  <c r="K645" i="1"/>
  <c r="L645" i="1"/>
  <c r="C645" i="1"/>
  <c r="M645" i="1"/>
  <c r="F645" i="1"/>
  <c r="E645" i="1"/>
  <c r="H645" i="1"/>
  <c r="B28" i="15"/>
  <c r="B27" i="12"/>
  <c r="P155" i="2"/>
  <c r="L39" i="1"/>
  <c r="J44" i="1"/>
  <c r="B103" i="7"/>
  <c r="P178" i="2"/>
  <c r="D19" i="18"/>
  <c r="D31" i="15"/>
  <c r="H602" i="1"/>
  <c r="J602" i="1"/>
  <c r="D602" i="1"/>
  <c r="L602" i="1"/>
  <c r="N602" i="1"/>
  <c r="P29" i="2"/>
  <c r="B14" i="15"/>
  <c r="B14" i="12"/>
  <c r="M578" i="1"/>
  <c r="L578" i="1"/>
  <c r="D578" i="1"/>
  <c r="I578" i="1"/>
  <c r="N578" i="1"/>
  <c r="G578" i="1"/>
  <c r="J578" i="1"/>
  <c r="C578" i="1"/>
  <c r="E578" i="1"/>
  <c r="K578" i="1"/>
  <c r="F578" i="1"/>
  <c r="H578" i="1"/>
  <c r="B96" i="7"/>
  <c r="P106" i="2"/>
  <c r="B87" i="7"/>
  <c r="B89" i="7"/>
  <c r="C163" i="20" s="1"/>
  <c r="P117" i="2"/>
  <c r="G235" i="2"/>
  <c r="D24" i="29"/>
  <c r="D25" i="29" s="1"/>
  <c r="D10" i="16"/>
  <c r="D11" i="29" s="1"/>
  <c r="D10" i="23"/>
  <c r="D22" i="24" s="1"/>
  <c r="E22" i="24" s="1"/>
  <c r="C281" i="20"/>
  <c r="P19" i="2"/>
  <c r="O38" i="1"/>
  <c r="O37" i="1" s="1"/>
  <c r="O639" i="1"/>
  <c r="F44" i="1"/>
  <c r="K601" i="1"/>
  <c r="B87" i="6"/>
  <c r="C235" i="2"/>
  <c r="G635" i="1"/>
  <c r="O48" i="1"/>
  <c r="P48" i="1" s="1"/>
  <c r="O25" i="1"/>
  <c r="P25" i="1" s="1"/>
  <c r="I624" i="1"/>
  <c r="J624" i="1"/>
  <c r="D624" i="1"/>
  <c r="L624" i="1"/>
  <c r="M624" i="1"/>
  <c r="G624" i="1"/>
  <c r="N624" i="1"/>
  <c r="C624" i="1"/>
  <c r="H624" i="1"/>
  <c r="K624" i="1"/>
  <c r="E624" i="1"/>
  <c r="F624" i="1"/>
  <c r="J594" i="1"/>
  <c r="M594" i="1"/>
  <c r="H594" i="1"/>
  <c r="L594" i="1"/>
  <c r="C594" i="1"/>
  <c r="I594" i="1"/>
  <c r="G594" i="1"/>
  <c r="F594" i="1"/>
  <c r="D594" i="1"/>
  <c r="N594" i="1"/>
  <c r="E594" i="1"/>
  <c r="M580" i="1"/>
  <c r="H580" i="1"/>
  <c r="D580" i="1"/>
  <c r="I580" i="1"/>
  <c r="J580" i="1"/>
  <c r="F580" i="1"/>
  <c r="C580" i="1"/>
  <c r="G580" i="1"/>
  <c r="K580" i="1"/>
  <c r="N580" i="1"/>
  <c r="L580" i="1"/>
  <c r="E580" i="1"/>
  <c r="B90" i="7"/>
  <c r="C164" i="20" s="1"/>
  <c r="P120" i="2"/>
  <c r="B127" i="7"/>
  <c r="B125" i="7" s="1"/>
  <c r="B124" i="7" s="1"/>
  <c r="C213" i="20"/>
  <c r="C211" i="20" s="1"/>
  <c r="C209" i="20" s="1"/>
  <c r="O229" i="2"/>
  <c r="D23" i="29"/>
  <c r="D9" i="16"/>
  <c r="C37" i="15"/>
  <c r="C39" i="15" s="1"/>
  <c r="D6" i="23"/>
  <c r="B122" i="7"/>
  <c r="C179" i="20" s="1"/>
  <c r="P214" i="2"/>
  <c r="C65" i="1"/>
  <c r="C64" i="1" s="1"/>
  <c r="M32" i="1"/>
  <c r="H635" i="1"/>
  <c r="D635" i="1"/>
  <c r="N626" i="1"/>
  <c r="I626" i="1"/>
  <c r="K626" i="1"/>
  <c r="C626" i="1"/>
  <c r="D626" i="1"/>
  <c r="H626" i="1"/>
  <c r="M626" i="1"/>
  <c r="L626" i="1"/>
  <c r="G626" i="1"/>
  <c r="E626" i="1"/>
  <c r="F626" i="1"/>
  <c r="J626" i="1"/>
  <c r="P124" i="2"/>
  <c r="B92" i="7"/>
  <c r="C166" i="20" s="1"/>
  <c r="F646" i="1"/>
  <c r="J646" i="1"/>
  <c r="C646" i="1"/>
  <c r="D646" i="1"/>
  <c r="H646" i="1"/>
  <c r="L646" i="1"/>
  <c r="N646" i="1"/>
  <c r="F596" i="1"/>
  <c r="J596" i="1"/>
  <c r="C596" i="1"/>
  <c r="G596" i="1"/>
  <c r="E596" i="1"/>
  <c r="M596" i="1"/>
  <c r="L596" i="1"/>
  <c r="I596" i="1"/>
  <c r="H596" i="1"/>
  <c r="N596" i="1"/>
  <c r="D596" i="1"/>
  <c r="E24" i="15"/>
  <c r="D24" i="15"/>
  <c r="P150" i="2"/>
  <c r="O144" i="2"/>
  <c r="O105" i="2" s="1"/>
  <c r="O573" i="1"/>
  <c r="D26" i="15"/>
  <c r="E26" i="15"/>
  <c r="P209" i="2"/>
  <c r="O202" i="2"/>
  <c r="E42" i="14"/>
  <c r="D42" i="14"/>
  <c r="C661" i="1"/>
  <c r="D661" i="1"/>
  <c r="K661" i="1"/>
  <c r="M661" i="1"/>
  <c r="H661" i="1"/>
  <c r="J661" i="1"/>
  <c r="F661" i="1"/>
  <c r="L661" i="1"/>
  <c r="G661" i="1"/>
  <c r="E661" i="1"/>
  <c r="N661" i="1"/>
  <c r="I661" i="1"/>
  <c r="B67" i="7"/>
  <c r="P82" i="2"/>
  <c r="O80" i="2"/>
  <c r="J662" i="1"/>
  <c r="M662" i="1"/>
  <c r="E662" i="1"/>
  <c r="N662" i="1"/>
  <c r="L662" i="1"/>
  <c r="K662" i="1"/>
  <c r="C662" i="1"/>
  <c r="I662" i="1"/>
  <c r="H662" i="1"/>
  <c r="G662" i="1"/>
  <c r="D662" i="1"/>
  <c r="F662" i="1"/>
  <c r="D16" i="15"/>
  <c r="E16" i="15"/>
  <c r="B68" i="7"/>
  <c r="P83" i="2"/>
  <c r="H663" i="1"/>
  <c r="F663" i="1"/>
  <c r="E663" i="1"/>
  <c r="G663" i="1"/>
  <c r="J663" i="1"/>
  <c r="C663" i="1"/>
  <c r="M663" i="1"/>
  <c r="D663" i="1"/>
  <c r="N663" i="1"/>
  <c r="L663" i="1"/>
  <c r="I663" i="1"/>
  <c r="K663" i="1"/>
  <c r="P9" i="2"/>
  <c r="B8" i="7"/>
  <c r="B7" i="12"/>
  <c r="B7" i="15"/>
  <c r="D6" i="16"/>
  <c r="D7" i="29" s="1"/>
  <c r="D20" i="29"/>
  <c r="B79" i="6"/>
  <c r="C62" i="20" s="1"/>
  <c r="E29" i="15"/>
  <c r="D29" i="15"/>
  <c r="E22" i="15"/>
  <c r="D22" i="15"/>
  <c r="C28" i="20"/>
  <c r="C146" i="20"/>
  <c r="C41" i="20"/>
  <c r="C26" i="20" s="1"/>
  <c r="E9" i="15"/>
  <c r="P38" i="1"/>
  <c r="B74" i="6"/>
  <c r="C57" i="20" s="1"/>
  <c r="P182" i="1"/>
  <c r="C88" i="20"/>
  <c r="P329" i="1"/>
  <c r="B95" i="6"/>
  <c r="E31" i="14"/>
  <c r="D31" i="14"/>
  <c r="H55" i="1"/>
  <c r="P121" i="1"/>
  <c r="B53" i="6"/>
  <c r="P385" i="1"/>
  <c r="B113" i="6"/>
  <c r="C68" i="20" s="1"/>
  <c r="H470" i="1"/>
  <c r="L470" i="1"/>
  <c r="C470" i="1"/>
  <c r="D470" i="1"/>
  <c r="F470" i="1"/>
  <c r="P466" i="1"/>
  <c r="I470" i="1"/>
  <c r="N470" i="1"/>
  <c r="E470" i="1"/>
  <c r="M470" i="1"/>
  <c r="P468" i="1"/>
  <c r="K470" i="1"/>
  <c r="J470" i="1"/>
  <c r="G470" i="1"/>
  <c r="P14" i="1"/>
  <c r="N558" i="1"/>
  <c r="N571" i="1"/>
  <c r="E558" i="1"/>
  <c r="E571" i="1"/>
  <c r="L558" i="1"/>
  <c r="L571" i="1"/>
  <c r="C3" i="20"/>
  <c r="B119" i="6"/>
  <c r="C74" i="20" s="1"/>
  <c r="P424" i="1"/>
  <c r="B10" i="10"/>
  <c r="B9" i="6"/>
  <c r="B10" i="14"/>
  <c r="P30" i="1"/>
  <c r="E572" i="1"/>
  <c r="H572" i="1"/>
  <c r="K572" i="1"/>
  <c r="B78" i="6"/>
  <c r="C61" i="20" s="1"/>
  <c r="P209" i="1"/>
  <c r="B64" i="6"/>
  <c r="K647" i="1"/>
  <c r="H647" i="1"/>
  <c r="I647" i="1"/>
  <c r="G647" i="1"/>
  <c r="N647" i="1"/>
  <c r="J647" i="1"/>
  <c r="D647" i="1"/>
  <c r="L647" i="1"/>
  <c r="F647" i="1"/>
  <c r="C647" i="1"/>
  <c r="E647" i="1"/>
  <c r="M647" i="1"/>
  <c r="P126" i="1"/>
  <c r="B54" i="6"/>
  <c r="Q476" i="1"/>
  <c r="L489" i="1"/>
  <c r="P482" i="1"/>
  <c r="P487" i="1"/>
  <c r="P479" i="1"/>
  <c r="H489" i="1"/>
  <c r="P483" i="1"/>
  <c r="P478" i="1"/>
  <c r="P486" i="1"/>
  <c r="D489" i="1"/>
  <c r="I489" i="1"/>
  <c r="K489" i="1"/>
  <c r="J489" i="1"/>
  <c r="E489" i="1"/>
  <c r="P477" i="1"/>
  <c r="F489" i="1"/>
  <c r="C489" i="1"/>
  <c r="P481" i="1"/>
  <c r="P480" i="1"/>
  <c r="G489" i="1"/>
  <c r="P484" i="1"/>
  <c r="N489" i="1"/>
  <c r="M489" i="1"/>
  <c r="M612" i="1"/>
  <c r="M611" i="1"/>
  <c r="M610" i="1"/>
  <c r="G611" i="1"/>
  <c r="G612" i="1"/>
  <c r="G610" i="1"/>
  <c r="H611" i="1"/>
  <c r="H612" i="1"/>
  <c r="H610" i="1"/>
  <c r="L654" i="1"/>
  <c r="G654" i="1"/>
  <c r="I654" i="1"/>
  <c r="K654" i="1"/>
  <c r="H654" i="1"/>
  <c r="D654" i="1"/>
  <c r="N654" i="1"/>
  <c r="E654" i="1"/>
  <c r="M654" i="1"/>
  <c r="C654" i="1"/>
  <c r="F654" i="1"/>
  <c r="J654" i="1"/>
  <c r="C613" i="1"/>
  <c r="E613" i="1"/>
  <c r="I613" i="1"/>
  <c r="F613" i="1"/>
  <c r="G613" i="1"/>
  <c r="M613" i="1"/>
  <c r="L613" i="1"/>
  <c r="J613" i="1"/>
  <c r="N613" i="1"/>
  <c r="D613" i="1"/>
  <c r="H613" i="1"/>
  <c r="K613" i="1"/>
  <c r="O55" i="1"/>
  <c r="P55" i="1" s="1"/>
  <c r="B19" i="14"/>
  <c r="B18" i="10"/>
  <c r="B17" i="10" s="1"/>
  <c r="P56" i="1"/>
  <c r="B17" i="6"/>
  <c r="B16" i="6" s="1"/>
  <c r="O379" i="1"/>
  <c r="P380" i="1"/>
  <c r="B112" i="6"/>
  <c r="L582" i="1"/>
  <c r="M582" i="1"/>
  <c r="E582" i="1"/>
  <c r="C582" i="1"/>
  <c r="J582" i="1"/>
  <c r="K582" i="1"/>
  <c r="N582" i="1"/>
  <c r="H582" i="1"/>
  <c r="F582" i="1"/>
  <c r="G582" i="1"/>
  <c r="D582" i="1"/>
  <c r="I582" i="1"/>
  <c r="P398" i="1"/>
  <c r="B117" i="6"/>
  <c r="C72" i="20" s="1"/>
  <c r="B115" i="6"/>
  <c r="C70" i="20" s="1"/>
  <c r="P392" i="1"/>
  <c r="P397" i="1"/>
  <c r="P46" i="1"/>
  <c r="C16" i="1"/>
  <c r="E16" i="1"/>
  <c r="G16" i="1"/>
  <c r="I16" i="1"/>
  <c r="K16" i="1"/>
  <c r="M16" i="1"/>
  <c r="F16" i="1"/>
  <c r="N16" i="1"/>
  <c r="H16" i="1"/>
  <c r="J16" i="1"/>
  <c r="D16" i="1"/>
  <c r="L16" i="1"/>
  <c r="O586" i="1"/>
  <c r="O585" i="1"/>
  <c r="O584" i="1"/>
  <c r="N629" i="1"/>
  <c r="F629" i="1"/>
  <c r="D629" i="1"/>
  <c r="E629" i="1"/>
  <c r="G629" i="1"/>
  <c r="C629" i="1"/>
  <c r="L629" i="1"/>
  <c r="M629" i="1"/>
  <c r="H629" i="1"/>
  <c r="K629" i="1"/>
  <c r="J629" i="1"/>
  <c r="I629" i="1"/>
  <c r="O34" i="1"/>
  <c r="P34" i="1" s="1"/>
  <c r="P10" i="1"/>
  <c r="O9" i="1"/>
  <c r="C558" i="1"/>
  <c r="C571" i="1"/>
  <c r="I571" i="1"/>
  <c r="I558" i="1"/>
  <c r="K571" i="1"/>
  <c r="K558" i="1"/>
  <c r="G571" i="1"/>
  <c r="G558" i="1"/>
  <c r="P348" i="1"/>
  <c r="C107" i="20"/>
  <c r="B97" i="6"/>
  <c r="B27" i="14"/>
  <c r="P85" i="1"/>
  <c r="B24" i="10"/>
  <c r="B44" i="6"/>
  <c r="B42" i="6" s="1"/>
  <c r="J572" i="1"/>
  <c r="G572" i="1"/>
  <c r="L572" i="1"/>
  <c r="T43" i="1"/>
  <c r="R39" i="1"/>
  <c r="T39" i="1" s="1"/>
  <c r="C256" i="20"/>
  <c r="B89" i="6"/>
  <c r="P292" i="1"/>
  <c r="K612" i="1"/>
  <c r="K611" i="1"/>
  <c r="K610" i="1"/>
  <c r="C27" i="1"/>
  <c r="E27" i="1"/>
  <c r="E18" i="1" s="1"/>
  <c r="G27" i="1"/>
  <c r="G18" i="1" s="1"/>
  <c r="I27" i="1"/>
  <c r="I18" i="1" s="1"/>
  <c r="K27" i="1"/>
  <c r="K18" i="1" s="1"/>
  <c r="M27" i="1"/>
  <c r="M18" i="1" s="1"/>
  <c r="D27" i="1"/>
  <c r="D18" i="1" s="1"/>
  <c r="F27" i="1"/>
  <c r="F18" i="1" s="1"/>
  <c r="H27" i="1"/>
  <c r="H18" i="1" s="1"/>
  <c r="J27" i="1"/>
  <c r="J18" i="1" s="1"/>
  <c r="L27" i="1"/>
  <c r="L18" i="1" s="1"/>
  <c r="N27" i="1"/>
  <c r="N18" i="1" s="1"/>
  <c r="O609" i="1"/>
  <c r="O608" i="1"/>
  <c r="O607" i="1"/>
  <c r="F612" i="1"/>
  <c r="F611" i="1"/>
  <c r="F610" i="1"/>
  <c r="K614" i="1"/>
  <c r="J614" i="1"/>
  <c r="H614" i="1"/>
  <c r="G614" i="1"/>
  <c r="C614" i="1"/>
  <c r="M614" i="1"/>
  <c r="L614" i="1"/>
  <c r="D614" i="1"/>
  <c r="F614" i="1"/>
  <c r="I614" i="1"/>
  <c r="E614" i="1"/>
  <c r="N614" i="1"/>
  <c r="Q464" i="1"/>
  <c r="Q468" i="1" s="1"/>
  <c r="C18" i="18"/>
  <c r="E18" i="18" s="1"/>
  <c r="E36" i="14"/>
  <c r="D36" i="14"/>
  <c r="P178" i="1"/>
  <c r="B73" i="6"/>
  <c r="C56" i="20" s="1"/>
  <c r="O15" i="1"/>
  <c r="P15" i="1" s="1"/>
  <c r="O114" i="1"/>
  <c r="P115" i="1"/>
  <c r="B52" i="6"/>
  <c r="B90" i="6"/>
  <c r="C261" i="20"/>
  <c r="P301" i="1"/>
  <c r="C581" i="1"/>
  <c r="H581" i="1"/>
  <c r="K581" i="1"/>
  <c r="J581" i="1"/>
  <c r="G581" i="1"/>
  <c r="I581" i="1"/>
  <c r="D581" i="1"/>
  <c r="N581" i="1"/>
  <c r="L581" i="1"/>
  <c r="F581" i="1"/>
  <c r="E581" i="1"/>
  <c r="M581" i="1"/>
  <c r="M577" i="1" s="1"/>
  <c r="P21" i="1"/>
  <c r="C253" i="20"/>
  <c r="P289" i="1"/>
  <c r="B88" i="6"/>
  <c r="B37" i="14"/>
  <c r="B34" i="10"/>
  <c r="P369" i="1"/>
  <c r="E628" i="1"/>
  <c r="G628" i="1"/>
  <c r="K628" i="1"/>
  <c r="D628" i="1"/>
  <c r="J628" i="1"/>
  <c r="M628" i="1"/>
  <c r="L628" i="1"/>
  <c r="N628" i="1"/>
  <c r="F628" i="1"/>
  <c r="C628" i="1"/>
  <c r="H628" i="1"/>
  <c r="I628" i="1"/>
  <c r="D558" i="1"/>
  <c r="D571" i="1"/>
  <c r="C32" i="1"/>
  <c r="R37" i="1"/>
  <c r="T37" i="1" s="1"/>
  <c r="T38" i="1"/>
  <c r="O42" i="1"/>
  <c r="P42" i="1" s="1"/>
  <c r="M572" i="1"/>
  <c r="D572" i="1"/>
  <c r="N572" i="1"/>
  <c r="B13" i="1"/>
  <c r="E55" i="1"/>
  <c r="L648" i="1"/>
  <c r="C648" i="1"/>
  <c r="G648" i="1"/>
  <c r="K648" i="1"/>
  <c r="D648" i="1"/>
  <c r="I648" i="1"/>
  <c r="E648" i="1"/>
  <c r="N648" i="1"/>
  <c r="J648" i="1"/>
  <c r="M648" i="1"/>
  <c r="H648" i="1"/>
  <c r="F648" i="1"/>
  <c r="O43" i="1"/>
  <c r="P43" i="1" s="1"/>
  <c r="E612" i="1"/>
  <c r="E611" i="1"/>
  <c r="E610" i="1"/>
  <c r="C612" i="1"/>
  <c r="C611" i="1"/>
  <c r="C610" i="1"/>
  <c r="L611" i="1"/>
  <c r="L612" i="1"/>
  <c r="L610" i="1"/>
  <c r="D612" i="1"/>
  <c r="D611" i="1"/>
  <c r="D610" i="1"/>
  <c r="O45" i="1"/>
  <c r="P45" i="1" s="1"/>
  <c r="C44" i="1"/>
  <c r="O277" i="1"/>
  <c r="B75" i="6"/>
  <c r="C58" i="20" s="1"/>
  <c r="P186" i="1"/>
  <c r="D583" i="1"/>
  <c r="L583" i="1"/>
  <c r="M583" i="1"/>
  <c r="G583" i="1"/>
  <c r="H583" i="1"/>
  <c r="I583" i="1"/>
  <c r="E583" i="1"/>
  <c r="K583" i="1"/>
  <c r="J583" i="1"/>
  <c r="N583" i="1"/>
  <c r="F583" i="1"/>
  <c r="C583" i="1"/>
  <c r="L627" i="1"/>
  <c r="I627" i="1"/>
  <c r="N627" i="1"/>
  <c r="D627" i="1"/>
  <c r="C627" i="1"/>
  <c r="G627" i="1"/>
  <c r="E627" i="1"/>
  <c r="M627" i="1"/>
  <c r="F627" i="1"/>
  <c r="K627" i="1"/>
  <c r="J627" i="1"/>
  <c r="H627" i="1"/>
  <c r="O623" i="1"/>
  <c r="H571" i="1"/>
  <c r="H558" i="1"/>
  <c r="M558" i="1"/>
  <c r="M571" i="1"/>
  <c r="J571" i="1"/>
  <c r="J558" i="1"/>
  <c r="F558" i="1"/>
  <c r="F571" i="1"/>
  <c r="B28" i="14"/>
  <c r="B25" i="10"/>
  <c r="P107" i="1"/>
  <c r="O32" i="1"/>
  <c r="P33" i="1"/>
  <c r="C39" i="1"/>
  <c r="O40" i="1"/>
  <c r="I572" i="1"/>
  <c r="C572" i="1"/>
  <c r="F572" i="1"/>
  <c r="O169" i="1"/>
  <c r="B71" i="6"/>
  <c r="P170" i="1"/>
  <c r="E41" i="14"/>
  <c r="B40" i="14"/>
  <c r="E40" i="14" s="1"/>
  <c r="D41" i="14"/>
  <c r="D40" i="14" s="1"/>
  <c r="P201" i="1"/>
  <c r="B76" i="6"/>
  <c r="C60" i="20" s="1"/>
  <c r="J649" i="1"/>
  <c r="M649" i="1"/>
  <c r="F649" i="1"/>
  <c r="N649" i="1"/>
  <c r="G649" i="1"/>
  <c r="D649" i="1"/>
  <c r="I649" i="1"/>
  <c r="E649" i="1"/>
  <c r="L649" i="1"/>
  <c r="K649" i="1"/>
  <c r="C649" i="1"/>
  <c r="H649" i="1"/>
  <c r="R13" i="1"/>
  <c r="B114" i="6"/>
  <c r="C69" i="20" s="1"/>
  <c r="P388" i="1"/>
  <c r="O315" i="1"/>
  <c r="R27" i="1"/>
  <c r="B18" i="1"/>
  <c r="C9" i="14" s="1"/>
  <c r="I612" i="1"/>
  <c r="I611" i="1"/>
  <c r="I610" i="1"/>
  <c r="J612" i="1"/>
  <c r="J611" i="1"/>
  <c r="J610" i="1"/>
  <c r="L653" i="1"/>
  <c r="N653" i="1"/>
  <c r="G653" i="1"/>
  <c r="G652" i="1" s="1"/>
  <c r="H653" i="1"/>
  <c r="C653" i="1"/>
  <c r="F653" i="1"/>
  <c r="F652" i="1" s="1"/>
  <c r="I653" i="1"/>
  <c r="I652" i="1" s="1"/>
  <c r="M653" i="1"/>
  <c r="M652" i="1" s="1"/>
  <c r="J653" i="1"/>
  <c r="E653" i="1"/>
  <c r="E652" i="1" s="1"/>
  <c r="D653" i="1"/>
  <c r="K653" i="1"/>
  <c r="O652" i="1"/>
  <c r="N615" i="1"/>
  <c r="I615" i="1"/>
  <c r="H615" i="1"/>
  <c r="C615" i="1"/>
  <c r="K615" i="1"/>
  <c r="J615" i="1"/>
  <c r="E615" i="1"/>
  <c r="D615" i="1"/>
  <c r="L615" i="1"/>
  <c r="F615" i="1"/>
  <c r="M615" i="1"/>
  <c r="G615" i="1"/>
  <c r="O29" i="1"/>
  <c r="P29" i="1" s="1"/>
  <c r="O22" i="1"/>
  <c r="P22" i="1" s="1"/>
  <c r="D26" i="16"/>
  <c r="D10" i="24"/>
  <c r="E10" i="23"/>
  <c r="C218" i="20"/>
  <c r="C229" i="20"/>
  <c r="B20" i="12"/>
  <c r="P54" i="2"/>
  <c r="B21" i="15"/>
  <c r="B23" i="6"/>
  <c r="B33" i="7"/>
  <c r="P66" i="1"/>
  <c r="B23" i="10"/>
  <c r="B26" i="14"/>
  <c r="B27" i="15" l="1"/>
  <c r="P105" i="2"/>
  <c r="B26" i="12"/>
  <c r="O228" i="2"/>
  <c r="P228" i="2" s="1"/>
  <c r="P229" i="2"/>
  <c r="B34" i="12"/>
  <c r="B33" i="12" s="1"/>
  <c r="B35" i="15"/>
  <c r="C276" i="20"/>
  <c r="N652" i="1"/>
  <c r="D28" i="15"/>
  <c r="E28" i="15"/>
  <c r="C282" i="20"/>
  <c r="P21" i="2"/>
  <c r="L652" i="1"/>
  <c r="F22" i="24"/>
  <c r="P144" i="2"/>
  <c r="B94" i="7"/>
  <c r="C168" i="20" s="1"/>
  <c r="C161" i="20"/>
  <c r="C159" i="20" s="1"/>
  <c r="D14" i="15"/>
  <c r="E14" i="15"/>
  <c r="B13" i="12"/>
  <c r="B12" i="12" s="1"/>
  <c r="B13" i="15"/>
  <c r="P26" i="2"/>
  <c r="O25" i="2"/>
  <c r="P25" i="2" s="1"/>
  <c r="L577" i="1"/>
  <c r="D18" i="24"/>
  <c r="D12" i="23"/>
  <c r="D16" i="23" s="1"/>
  <c r="D21" i="23" s="1"/>
  <c r="D12" i="29"/>
  <c r="J577" i="1"/>
  <c r="K577" i="1"/>
  <c r="B65" i="7"/>
  <c r="D10" i="29"/>
  <c r="D11" i="16"/>
  <c r="K652" i="1"/>
  <c r="H652" i="1"/>
  <c r="O15" i="2"/>
  <c r="O572" i="1"/>
  <c r="J639" i="1"/>
  <c r="D639" i="1"/>
  <c r="L639" i="1"/>
  <c r="D577" i="1"/>
  <c r="C639" i="1"/>
  <c r="N639" i="1"/>
  <c r="C577" i="1"/>
  <c r="E7" i="15"/>
  <c r="D7" i="15"/>
  <c r="P80" i="2"/>
  <c r="B23" i="15"/>
  <c r="B22" i="12"/>
  <c r="B120" i="7"/>
  <c r="O190" i="2"/>
  <c r="P202" i="2"/>
  <c r="B86" i="6"/>
  <c r="B51" i="6"/>
  <c r="C240" i="20"/>
  <c r="C76" i="20"/>
  <c r="D28" i="14"/>
  <c r="E28" i="14"/>
  <c r="K623" i="1"/>
  <c r="G623" i="1"/>
  <c r="I623" i="1"/>
  <c r="B29" i="14"/>
  <c r="P114" i="1"/>
  <c r="B26" i="10"/>
  <c r="E608" i="1"/>
  <c r="N608" i="1"/>
  <c r="I608" i="1"/>
  <c r="M608" i="1"/>
  <c r="J608" i="1"/>
  <c r="L608" i="1"/>
  <c r="H608" i="1"/>
  <c r="K608" i="1"/>
  <c r="F608" i="1"/>
  <c r="C608" i="1"/>
  <c r="G608" i="1"/>
  <c r="D608" i="1"/>
  <c r="F577" i="1"/>
  <c r="D27" i="14"/>
  <c r="E27" i="14"/>
  <c r="O571" i="1"/>
  <c r="D585" i="1"/>
  <c r="I585" i="1"/>
  <c r="N585" i="1"/>
  <c r="H585" i="1"/>
  <c r="M585" i="1"/>
  <c r="G585" i="1"/>
  <c r="J585" i="1"/>
  <c r="L585" i="1"/>
  <c r="K585" i="1"/>
  <c r="E585" i="1"/>
  <c r="C585" i="1"/>
  <c r="F585" i="1"/>
  <c r="C67" i="20"/>
  <c r="B111" i="6"/>
  <c r="B93" i="6"/>
  <c r="B12" i="14"/>
  <c r="B11" i="6"/>
  <c r="B12" i="10"/>
  <c r="P37" i="1"/>
  <c r="T27" i="1"/>
  <c r="R18" i="1"/>
  <c r="T18" i="1" s="1"/>
  <c r="T13" i="1"/>
  <c r="C54" i="20"/>
  <c r="C52" i="20" s="1"/>
  <c r="B70" i="6"/>
  <c r="O39" i="1"/>
  <c r="P40" i="1"/>
  <c r="B11" i="14"/>
  <c r="P32" i="1"/>
  <c r="B11" i="10"/>
  <c r="B10" i="6"/>
  <c r="F623" i="1"/>
  <c r="C623" i="1"/>
  <c r="L623" i="1"/>
  <c r="M639" i="1"/>
  <c r="D17" i="1"/>
  <c r="D13" i="1" s="1"/>
  <c r="H17" i="1"/>
  <c r="H13" i="1" s="1"/>
  <c r="L17" i="1"/>
  <c r="L13" i="1" s="1"/>
  <c r="E17" i="1"/>
  <c r="E13" i="1" s="1"/>
  <c r="I17" i="1"/>
  <c r="I13" i="1" s="1"/>
  <c r="M17" i="1"/>
  <c r="M13" i="1" s="1"/>
  <c r="F17" i="1"/>
  <c r="F13" i="1" s="1"/>
  <c r="J17" i="1"/>
  <c r="J13" i="1" s="1"/>
  <c r="N17" i="1"/>
  <c r="N13" i="1" s="1"/>
  <c r="C17" i="1"/>
  <c r="G17" i="1"/>
  <c r="G13" i="1" s="1"/>
  <c r="K17" i="1"/>
  <c r="K13" i="1" s="1"/>
  <c r="E609" i="1"/>
  <c r="K609" i="1"/>
  <c r="I609" i="1"/>
  <c r="M609" i="1"/>
  <c r="N609" i="1"/>
  <c r="H609" i="1"/>
  <c r="J609" i="1"/>
  <c r="L609" i="1"/>
  <c r="C609" i="1"/>
  <c r="F609" i="1"/>
  <c r="D609" i="1"/>
  <c r="G609" i="1"/>
  <c r="O27" i="1"/>
  <c r="P27" i="1" s="1"/>
  <c r="C18" i="1"/>
  <c r="M586" i="1"/>
  <c r="G586" i="1"/>
  <c r="H586" i="1"/>
  <c r="F586" i="1"/>
  <c r="K586" i="1"/>
  <c r="L586" i="1"/>
  <c r="J586" i="1"/>
  <c r="N586" i="1"/>
  <c r="E586" i="1"/>
  <c r="C586" i="1"/>
  <c r="D586" i="1"/>
  <c r="I586" i="1"/>
  <c r="O16" i="1"/>
  <c r="P16" i="1" s="1"/>
  <c r="E10" i="14"/>
  <c r="D10" i="14"/>
  <c r="I577" i="1"/>
  <c r="J652" i="1"/>
  <c r="C652" i="1"/>
  <c r="D652" i="1"/>
  <c r="B35" i="14"/>
  <c r="P315" i="1"/>
  <c r="B32" i="10"/>
  <c r="B32" i="14"/>
  <c r="B29" i="10"/>
  <c r="P169" i="1"/>
  <c r="F639" i="1"/>
  <c r="E639" i="1"/>
  <c r="H623" i="1"/>
  <c r="M623" i="1"/>
  <c r="D623" i="1"/>
  <c r="G639" i="1"/>
  <c r="C19" i="18"/>
  <c r="E19" i="18" s="1"/>
  <c r="D37" i="14"/>
  <c r="E37" i="14"/>
  <c r="G577" i="1"/>
  <c r="B7" i="14"/>
  <c r="P9" i="1"/>
  <c r="B6" i="6"/>
  <c r="B7" i="10"/>
  <c r="C65" i="20"/>
  <c r="B38" i="14"/>
  <c r="P379" i="1"/>
  <c r="B35" i="10"/>
  <c r="B18" i="14"/>
  <c r="E18" i="14" s="1"/>
  <c r="E19" i="14"/>
  <c r="D19" i="14"/>
  <c r="D18" i="14" s="1"/>
  <c r="I639" i="1"/>
  <c r="J623" i="1"/>
  <c r="E623" i="1"/>
  <c r="N623" i="1"/>
  <c r="B34" i="14"/>
  <c r="P277" i="1"/>
  <c r="B31" i="10"/>
  <c r="C8" i="14"/>
  <c r="C6" i="14" s="1"/>
  <c r="C5" i="14" s="1"/>
  <c r="D19" i="29" s="1"/>
  <c r="D21" i="29" s="1"/>
  <c r="D27" i="29" s="1"/>
  <c r="B8" i="1"/>
  <c r="B7" i="1" s="1"/>
  <c r="B450" i="1" s="1"/>
  <c r="K639" i="1"/>
  <c r="H639" i="1"/>
  <c r="E577" i="1"/>
  <c r="K607" i="1"/>
  <c r="H607" i="1"/>
  <c r="F607" i="1"/>
  <c r="I607" i="1"/>
  <c r="E607" i="1"/>
  <c r="D607" i="1"/>
  <c r="C607" i="1"/>
  <c r="M607" i="1"/>
  <c r="L607" i="1"/>
  <c r="G607" i="1"/>
  <c r="N607" i="1"/>
  <c r="J607" i="1"/>
  <c r="O590" i="1"/>
  <c r="I584" i="1"/>
  <c r="G584" i="1"/>
  <c r="M584" i="1"/>
  <c r="D584" i="1"/>
  <c r="F584" i="1"/>
  <c r="K584" i="1"/>
  <c r="H584" i="1"/>
  <c r="J584" i="1"/>
  <c r="C584" i="1"/>
  <c r="N584" i="1"/>
  <c r="E584" i="1"/>
  <c r="L584" i="1"/>
  <c r="O577" i="1"/>
  <c r="O44" i="1"/>
  <c r="B14" i="10" s="1"/>
  <c r="N577" i="1"/>
  <c r="H577" i="1"/>
  <c r="E10" i="24"/>
  <c r="F10" i="24"/>
  <c r="E26" i="14"/>
  <c r="D26" i="14"/>
  <c r="D21" i="15"/>
  <c r="E21" i="15"/>
  <c r="F18" i="24" l="1"/>
  <c r="E18" i="24"/>
  <c r="E24" i="24" s="1"/>
  <c r="D24" i="24"/>
  <c r="B86" i="7"/>
  <c r="D13" i="15"/>
  <c r="D12" i="15" s="1"/>
  <c r="E13" i="15"/>
  <c r="B12" i="15"/>
  <c r="E12" i="15" s="1"/>
  <c r="B34" i="15"/>
  <c r="E34" i="15" s="1"/>
  <c r="E35" i="15"/>
  <c r="D35" i="15"/>
  <c r="D34" i="15" s="1"/>
  <c r="E27" i="15"/>
  <c r="D27" i="15"/>
  <c r="B10" i="15"/>
  <c r="B10" i="12"/>
  <c r="B6" i="12" s="1"/>
  <c r="B5" i="12" s="1"/>
  <c r="B11" i="7"/>
  <c r="B7" i="7" s="1"/>
  <c r="B6" i="7" s="1"/>
  <c r="P15" i="2"/>
  <c r="O8" i="2"/>
  <c r="G8" i="1"/>
  <c r="G2" i="1" s="1"/>
  <c r="F8" i="1"/>
  <c r="F2" i="1" s="1"/>
  <c r="L8" i="1"/>
  <c r="L7" i="1" s="1"/>
  <c r="L450" i="1" s="1"/>
  <c r="M8" i="1"/>
  <c r="M7" i="1" s="1"/>
  <c r="M450" i="1" s="1"/>
  <c r="H8" i="1"/>
  <c r="H7" i="1" s="1"/>
  <c r="E23" i="15"/>
  <c r="D23" i="15"/>
  <c r="N8" i="1"/>
  <c r="N7" i="1" s="1"/>
  <c r="N450" i="1" s="1"/>
  <c r="I7" i="1"/>
  <c r="I450" i="1" s="1"/>
  <c r="I8" i="1"/>
  <c r="D8" i="1"/>
  <c r="D7" i="1" s="1"/>
  <c r="D450" i="1" s="1"/>
  <c r="P190" i="2"/>
  <c r="B32" i="15"/>
  <c r="B31" i="12"/>
  <c r="K8" i="1"/>
  <c r="K7" i="1" s="1"/>
  <c r="J8" i="1"/>
  <c r="J7" i="1" s="1"/>
  <c r="J450" i="1" s="1"/>
  <c r="E8" i="1"/>
  <c r="E7" i="1" s="1"/>
  <c r="C177" i="20"/>
  <c r="C170" i="20" s="1"/>
  <c r="B114" i="7"/>
  <c r="L590" i="1"/>
  <c r="E590" i="1"/>
  <c r="K590" i="1"/>
  <c r="D32" i="14"/>
  <c r="E32" i="14"/>
  <c r="E12" i="14"/>
  <c r="D12" i="14"/>
  <c r="J590" i="1"/>
  <c r="M590" i="1"/>
  <c r="I590" i="1"/>
  <c r="C6" i="23"/>
  <c r="C44" i="14"/>
  <c r="D5" i="16"/>
  <c r="E7" i="14"/>
  <c r="D7" i="14"/>
  <c r="O17" i="1"/>
  <c r="O13" i="1" s="1"/>
  <c r="C13" i="1"/>
  <c r="O18" i="1"/>
  <c r="D11" i="14"/>
  <c r="E11" i="14"/>
  <c r="B13" i="6"/>
  <c r="P44" i="1"/>
  <c r="B15" i="14"/>
  <c r="N590" i="1"/>
  <c r="C590" i="1"/>
  <c r="F590" i="1"/>
  <c r="E34" i="14"/>
  <c r="D34" i="14"/>
  <c r="R8" i="1"/>
  <c r="T8" i="1" s="1"/>
  <c r="D29" i="14"/>
  <c r="E29" i="14"/>
  <c r="G590" i="1"/>
  <c r="D590" i="1"/>
  <c r="H590" i="1"/>
  <c r="E38" i="14"/>
  <c r="D38" i="14"/>
  <c r="E35" i="14"/>
  <c r="D35" i="14"/>
  <c r="B14" i="14"/>
  <c r="B12" i="6"/>
  <c r="B13" i="10"/>
  <c r="P39" i="1"/>
  <c r="E10" i="15" l="1"/>
  <c r="D10" i="15"/>
  <c r="D6" i="15" s="1"/>
  <c r="D5" i="15" s="1"/>
  <c r="B6" i="15"/>
  <c r="O7" i="2"/>
  <c r="P8" i="2"/>
  <c r="C8" i="1"/>
  <c r="C7" i="1" s="1"/>
  <c r="F7" i="1"/>
  <c r="F450" i="1" s="1"/>
  <c r="O8" i="1"/>
  <c r="E32" i="15"/>
  <c r="D32" i="15"/>
  <c r="G7" i="1"/>
  <c r="G450" i="1" s="1"/>
  <c r="F10" i="29"/>
  <c r="E10" i="29"/>
  <c r="P18" i="1"/>
  <c r="B9" i="10"/>
  <c r="B8" i="6"/>
  <c r="B9" i="14"/>
  <c r="C12" i="23"/>
  <c r="C16" i="23" s="1"/>
  <c r="C21" i="23" s="1"/>
  <c r="E6" i="23"/>
  <c r="E12" i="23" s="1"/>
  <c r="E16" i="23" s="1"/>
  <c r="E21" i="23" s="1"/>
  <c r="D6" i="24"/>
  <c r="E15" i="14"/>
  <c r="D15" i="14"/>
  <c r="E14" i="14"/>
  <c r="D14" i="14"/>
  <c r="B8" i="14"/>
  <c r="B6" i="14" s="1"/>
  <c r="B7" i="6"/>
  <c r="P13" i="1"/>
  <c r="B8" i="10"/>
  <c r="D25" i="16"/>
  <c r="D27" i="16" s="1"/>
  <c r="D17" i="16"/>
  <c r="D19" i="16" s="1"/>
  <c r="D6" i="29"/>
  <c r="D8" i="29" s="1"/>
  <c r="D14" i="29" s="1"/>
  <c r="D7" i="16"/>
  <c r="D13" i="16" s="1"/>
  <c r="B5" i="15" l="1"/>
  <c r="E6" i="15"/>
  <c r="K90" i="2"/>
  <c r="K89" i="2" s="1"/>
  <c r="K88" i="2" s="1"/>
  <c r="K53" i="2" s="1"/>
  <c r="K52" i="2" s="1"/>
  <c r="K235" i="2" s="1"/>
  <c r="H90" i="2"/>
  <c r="H89" i="2" s="1"/>
  <c r="H88" i="2" s="1"/>
  <c r="H53" i="2" s="1"/>
  <c r="H52" i="2" s="1"/>
  <c r="H235" i="2" s="1"/>
  <c r="P7" i="2"/>
  <c r="E90" i="2"/>
  <c r="C450" i="1"/>
  <c r="H2" i="1"/>
  <c r="B6" i="10"/>
  <c r="B5" i="10" s="1"/>
  <c r="B5" i="6"/>
  <c r="B4" i="6" s="1"/>
  <c r="D18" i="16"/>
  <c r="F6" i="24"/>
  <c r="D12" i="24"/>
  <c r="E6" i="24"/>
  <c r="E12" i="24" s="1"/>
  <c r="D9" i="14"/>
  <c r="E9" i="14"/>
  <c r="O7" i="1"/>
  <c r="O2" i="1" s="1"/>
  <c r="P8" i="1"/>
  <c r="E8" i="14"/>
  <c r="D8" i="14"/>
  <c r="C23" i="29" l="1"/>
  <c r="E5" i="15"/>
  <c r="C9" i="16"/>
  <c r="E89" i="2"/>
  <c r="E88" i="2" s="1"/>
  <c r="E53" i="2" s="1"/>
  <c r="E52" i="2" s="1"/>
  <c r="E235" i="2" s="1"/>
  <c r="O90" i="2"/>
  <c r="D6" i="14"/>
  <c r="D5" i="14" s="1"/>
  <c r="E6" i="14"/>
  <c r="B5" i="14"/>
  <c r="C19" i="29" s="1"/>
  <c r="K136" i="1"/>
  <c r="K135" i="1" s="1"/>
  <c r="E136" i="1"/>
  <c r="E135" i="1" s="1"/>
  <c r="H136" i="1"/>
  <c r="H135" i="1" s="1"/>
  <c r="P7" i="1"/>
  <c r="O89" i="2" l="1"/>
  <c r="B77" i="7"/>
  <c r="B76" i="7" s="1"/>
  <c r="B75" i="7" s="1"/>
  <c r="B32" i="7" s="1"/>
  <c r="B31" i="7" s="1"/>
  <c r="B131" i="7" s="1"/>
  <c r="P90" i="2"/>
  <c r="I6" i="16"/>
  <c r="E9" i="16"/>
  <c r="D6" i="18"/>
  <c r="F9" i="16"/>
  <c r="F23" i="29"/>
  <c r="E23" i="29"/>
  <c r="F19" i="29"/>
  <c r="E19" i="29"/>
  <c r="H134" i="1"/>
  <c r="H65" i="1" s="1"/>
  <c r="H64" i="1" s="1"/>
  <c r="H450" i="1" s="1"/>
  <c r="O136" i="1"/>
  <c r="E134" i="1"/>
  <c r="E65" i="1" s="1"/>
  <c r="E64" i="1" s="1"/>
  <c r="E450" i="1" s="1"/>
  <c r="K134" i="1"/>
  <c r="K65" i="1" s="1"/>
  <c r="K64" i="1" s="1"/>
  <c r="K450" i="1" s="1"/>
  <c r="C5" i="16"/>
  <c r="E5" i="14"/>
  <c r="O88" i="2" l="1"/>
  <c r="P89" i="2"/>
  <c r="O135" i="1"/>
  <c r="B60" i="6"/>
  <c r="B59" i="6" s="1"/>
  <c r="B58" i="6" s="1"/>
  <c r="B22" i="6" s="1"/>
  <c r="B21" i="6" s="1"/>
  <c r="C130" i="20"/>
  <c r="C129" i="20" s="1"/>
  <c r="C127" i="20" s="1"/>
  <c r="P136" i="1"/>
  <c r="F5" i="16"/>
  <c r="C25" i="16"/>
  <c r="I5" i="16"/>
  <c r="E5" i="16"/>
  <c r="C6" i="18"/>
  <c r="E6" i="18" s="1"/>
  <c r="C17" i="16"/>
  <c r="C19" i="16" s="1"/>
  <c r="B24" i="12" l="1"/>
  <c r="B19" i="12" s="1"/>
  <c r="B18" i="12" s="1"/>
  <c r="B36" i="12" s="1"/>
  <c r="B25" i="15"/>
  <c r="P88" i="2"/>
  <c r="O53" i="2"/>
  <c r="C18" i="16"/>
  <c r="F6" i="29"/>
  <c r="E6" i="29"/>
  <c r="E25" i="16"/>
  <c r="F25" i="16"/>
  <c r="P135" i="1"/>
  <c r="O134" i="1"/>
  <c r="I7" i="16"/>
  <c r="J6" i="16" s="1"/>
  <c r="B130" i="6"/>
  <c r="D23" i="6"/>
  <c r="P53" i="2" l="1"/>
  <c r="O52" i="2"/>
  <c r="D25" i="15"/>
  <c r="D20" i="15" s="1"/>
  <c r="D19" i="15" s="1"/>
  <c r="D37" i="15" s="1"/>
  <c r="E25" i="15"/>
  <c r="B20" i="15"/>
  <c r="C12" i="29"/>
  <c r="F12" i="29" s="1"/>
  <c r="E11" i="29"/>
  <c r="E12" i="29" s="1"/>
  <c r="F11" i="29"/>
  <c r="J5" i="16"/>
  <c r="B27" i="10"/>
  <c r="B22" i="10" s="1"/>
  <c r="B21" i="10" s="1"/>
  <c r="B41" i="10" s="1"/>
  <c r="B30" i="14"/>
  <c r="P134" i="1"/>
  <c r="O65" i="1"/>
  <c r="O64" i="1" s="1"/>
  <c r="E20" i="15" l="1"/>
  <c r="B19" i="15"/>
  <c r="O235" i="2"/>
  <c r="P235" i="2" s="1"/>
  <c r="P52" i="2"/>
  <c r="T52" i="2"/>
  <c r="T53" i="2" s="1"/>
  <c r="D11" i="26"/>
  <c r="D13" i="26" s="1"/>
  <c r="D16" i="26" s="1"/>
  <c r="D17" i="26" s="1"/>
  <c r="U52" i="2"/>
  <c r="P65" i="1"/>
  <c r="E30" i="14"/>
  <c r="D30" i="14"/>
  <c r="D25" i="14" s="1"/>
  <c r="D24" i="14" s="1"/>
  <c r="D44" i="14" s="1"/>
  <c r="B25" i="14"/>
  <c r="C24" i="29" l="1"/>
  <c r="B37" i="15"/>
  <c r="E19" i="15"/>
  <c r="C10" i="16"/>
  <c r="P64" i="1"/>
  <c r="O450" i="1"/>
  <c r="C21" i="6"/>
  <c r="B24" i="14"/>
  <c r="C20" i="29" s="1"/>
  <c r="E25" i="14"/>
  <c r="E37" i="15" l="1"/>
  <c r="B39" i="15"/>
  <c r="F24" i="29"/>
  <c r="E24" i="29"/>
  <c r="E25" i="29" s="1"/>
  <c r="C25" i="29"/>
  <c r="F25" i="29" s="1"/>
  <c r="I14" i="16"/>
  <c r="D10" i="18"/>
  <c r="D12" i="18" s="1"/>
  <c r="D16" i="18" s="1"/>
  <c r="D21" i="18" s="1"/>
  <c r="F10" i="16"/>
  <c r="C11" i="16"/>
  <c r="F11" i="16" s="1"/>
  <c r="E10" i="16"/>
  <c r="E11" i="16" s="1"/>
  <c r="F20" i="29"/>
  <c r="C21" i="29"/>
  <c r="E20" i="29"/>
  <c r="E21" i="29" s="1"/>
  <c r="E24" i="14"/>
  <c r="C6" i="16"/>
  <c r="B44" i="14"/>
  <c r="E44" i="14" s="1"/>
  <c r="E27" i="29" l="1"/>
  <c r="D39" i="15"/>
  <c r="E39" i="15"/>
  <c r="F21" i="29"/>
  <c r="C27" i="29"/>
  <c r="F27" i="29" s="1"/>
  <c r="C26" i="16"/>
  <c r="E6" i="16"/>
  <c r="E7" i="16" s="1"/>
  <c r="E13" i="16" s="1"/>
  <c r="C7" i="16"/>
  <c r="I13" i="16"/>
  <c r="C10" i="18"/>
  <c r="F6" i="16"/>
  <c r="C13" i="16" l="1"/>
  <c r="F13" i="16" s="1"/>
  <c r="F7" i="16"/>
  <c r="E10" i="18"/>
  <c r="E12" i="18" s="1"/>
  <c r="E16" i="18" s="1"/>
  <c r="E21" i="18" s="1"/>
  <c r="C12" i="18"/>
  <c r="C16" i="18" s="1"/>
  <c r="C21" i="18" s="1"/>
  <c r="E26" i="16"/>
  <c r="E27" i="16" s="1"/>
  <c r="C27" i="16"/>
  <c r="F27" i="16" s="1"/>
  <c r="F26" i="16"/>
  <c r="I15" i="16"/>
  <c r="J14" i="16" s="1"/>
  <c r="C8" i="29"/>
  <c r="E7" i="29"/>
  <c r="E8" i="29" s="1"/>
  <c r="E14" i="29" s="1"/>
  <c r="F7" i="29"/>
  <c r="C14" i="29" l="1"/>
  <c r="F14" i="29" s="1"/>
  <c r="F8" i="29"/>
  <c r="J1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Presidencia</author>
    <author>Usuario</author>
    <author>Camara de Comercio</author>
    <author>Camara de Comercio de Cartago</author>
    <author>promocion</author>
    <author>COORD LOGISTICA</author>
    <author>Cartago</author>
    <author>administracion</author>
    <author>ASISTENTE PRESID</author>
  </authors>
  <commentList>
    <comment ref="E5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Convenio Alcaldia Cartago para Formalizacion 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Convenio Alcaldia Municipio para Formalizacion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Convenio Alcaldia para Formalizacion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</t>
        </r>
        <r>
          <rPr>
            <sz val="9"/>
            <color indexed="81"/>
            <rFont val="Tahoma"/>
            <family val="2"/>
          </rPr>
          <t>umplimiento de metas directivos.
Presidencia $7,452.000
Competitividad $2,683,000
DAF $2,683,000
Juridica $2,0250000</t>
        </r>
      </text>
    </comment>
    <comment ref="N7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</t>
        </r>
        <r>
          <rPr>
            <sz val="9"/>
            <color indexed="81"/>
            <rFont val="Tahoma"/>
            <family val="2"/>
          </rPr>
          <t>umplimiento de metas directivos.
Presidencia $7,452.000
Competitividad $2,683,000
DAF $2,683,000
Juridica $2,0250000</t>
        </r>
      </text>
    </comment>
    <comment ref="C7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protocolo y etiqueta</t>
        </r>
      </text>
    </comment>
    <comment ref="D7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saber vender 2000000
manejo del tiempo 1000000</t>
        </r>
      </text>
    </comment>
    <comment ref="E76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liderazgo para Directores</t>
        </r>
      </text>
    </comment>
    <comment ref="F76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Actualizacion o Formacion de Auditores en iso 9001 : 2015.
habitos alimenticios
</t>
        </r>
      </text>
    </comment>
    <comment ref="G7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Capacitacion Iso27001, incluye viaticos y hospedaje para un total de 6 noches, 12 dias que dura la capacitación</t>
        </r>
      </text>
    </comment>
    <comment ref="H76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pensamiento analitico</t>
        </r>
      </text>
    </comment>
    <comment ref="I76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saber vender</t>
        </r>
      </text>
    </comment>
    <comment ref="J76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ASISTENCIA  DE LA DIRECTORA JURÍDICA, COORDINADORA Y DOS AUXILIARES DE REGISTROS PÚBLICOS AL XV SEMINARIO TALLER DE REGISTROS PÚBLICOS EN LA CIUDAD DE SANTA ROSA DE CABAL, EL 10 Y 11 DE AGOSTO</t>
        </r>
      </text>
    </comment>
    <comment ref="K76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habitos alimenticios</t>
        </r>
      </text>
    </comment>
    <comment ref="M76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gladiadores 3</t>
        </r>
      </text>
    </comment>
    <comment ref="C84" authorId="2" shapeId="0" xr:uid="{00000000-0006-0000-0000-000010000000}">
      <text>
        <r>
          <rPr>
            <sz val="9"/>
            <color indexed="81"/>
            <rFont val="Tahoma"/>
            <family val="2"/>
          </rPr>
          <t>Dotacion Elementos de seguridad para archivo
• Overoles o batas (preferiblemente con cierre de cremallera y puño ajustado). $100.000
• Tapabocas o respiradores desechables. 
• Gorros desechables.
• Guantes desechables (de látex o de nitrilo).
• Gafas protectoras plásticas transparentes.
• Jabón antibacterial líquido.
• Suero fisiológico.
• Gel antibacterial.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9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Consultoría para análisis de la Cadena de Valor y Análisis del Sistema de Riesgos de la CCC
</t>
        </r>
      </text>
    </comment>
    <comment ref="E94" authorId="3" shapeId="0" xr:uid="{00000000-0006-0000-0000-000012000000}">
      <text>
        <r>
          <rPr>
            <b/>
            <sz val="9"/>
            <color indexed="81"/>
            <rFont val="Tahoma"/>
            <family val="2"/>
          </rPr>
          <t>Casación proceso laboral - COTE RUIZ REINALDO GUILLERMO</t>
        </r>
      </text>
    </comment>
    <comment ref="D9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Cliente oculto</t>
        </r>
      </text>
    </comment>
    <comment ref="K95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Cliente oculto</t>
        </r>
      </text>
    </comment>
    <comment ref="J97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32,700,000 Montaje evento
8,900,000 show artistico</t>
        </r>
      </text>
    </comment>
    <comment ref="K97" authorId="1" shapeId="0" xr:uid="{B265A327-CD14-410F-B0B8-5CC5688A8DA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32,700,000 Montaje evento
8,900,000 show artistico</t>
        </r>
      </text>
    </comment>
    <comment ref="M97" authorId="1" shapeId="0" xr:uid="{E987F529-32CC-4824-9981-32F80F4AF46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32,700,000 Montaje evento
8,900,000 show artistico</t>
        </r>
      </text>
    </comment>
    <comment ref="D99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asesoria en turismo con Jorge</t>
        </r>
      </text>
    </comment>
    <comment ref="F99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8,000,000 acompañamiento turismo</t>
        </r>
      </text>
    </comment>
    <comment ref="H99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 bordadoras 8000000
</t>
        </r>
      </text>
    </comment>
    <comment ref="F104" authorId="4" shapeId="0" xr:uid="{00000000-0006-0000-0000-000019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programa piloto emprendimiento</t>
        </r>
      </text>
    </comment>
    <comment ref="D148" authorId="4" shapeId="0" xr:uid="{00000000-0006-0000-0000-00001A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contrapartida alianzas para la innovacion</t>
        </r>
      </text>
    </comment>
    <comment ref="D150" authorId="4" shapeId="0" xr:uid="{00000000-0006-0000-0000-00001B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contribución anato</t>
        </r>
      </text>
    </comment>
    <comment ref="J150" authorId="4" shapeId="0" xr:uid="{00000000-0006-0000-0000-00001C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contribución anato</t>
        </r>
      </text>
    </comment>
    <comment ref="G15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Encuesta pyme</t>
        </r>
      </text>
    </comment>
    <comment ref="F177" authorId="2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CONTRATAR UNA PERSONA PARA APOYO EN EL PROGRAMA DE FORMALIZACIÓN. PARA CARTAGO. </t>
        </r>
      </text>
    </comment>
    <comment ref="G177" authorId="2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CONTRATAR UNA PERSONA PARA APOYO EN EL PROGRAMA DE FORMALIZACIÓN. PARA CARTAGO. </t>
        </r>
      </text>
    </comment>
    <comment ref="H177" authorId="2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CONTRATAR UNA PERSONA PARA APOYO EN EL PROGRAMA DE FORMALIZACIÓN. PARA CARTAGO. </t>
        </r>
      </text>
    </comment>
    <comment ref="G205" authorId="2" shapeId="0" xr:uid="{00000000-0006-0000-0000-000021000000}">
      <text>
        <r>
          <rPr>
            <b/>
            <sz val="9"/>
            <color indexed="81"/>
            <rFont val="Tahoma"/>
            <family val="2"/>
          </rPr>
          <t>ENVIO DE REQUERIMIENTO PARA ASISTIR A LA JORNADA</t>
        </r>
      </text>
    </comment>
    <comment ref="K205" authorId="2" shapeId="0" xr:uid="{00000000-0006-0000-0000-000022000000}">
      <text>
        <r>
          <rPr>
            <b/>
            <sz val="9"/>
            <color indexed="81"/>
            <rFont val="Tahoma"/>
            <family val="2"/>
          </rPr>
          <t>ENVIO DE REQUERIMIENTO PARA ASISTIR A LA JORNADA</t>
        </r>
      </text>
    </comment>
    <comment ref="C208" authorId="2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TRANSPORTE CARPA= 32.000 IDA Y REGRESO CARTAGO.
LA UNION: 10.000
ROLDANILLO= 10.000 CUANDO SON ALEJADOS DEL SECTOR DEBEN PAGAR TRANSPORTE </t>
        </r>
      </text>
    </comment>
    <comment ref="D208" authorId="2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TRANSPORTE CARPA= 32.000 IDA Y REGRESO CARTAGO.
LA UNION: 10.000
ROLDANILLO= 10.000 CUANDO SON ALEJADOS DEL SECTOR DEBEN PAGAR TRANSPORTE </t>
        </r>
      </text>
    </comment>
    <comment ref="F208" authorId="2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TRANSPORTE CARPA= 32.000 IDA Y REGRESO CARTAGO.
LA UNION: 10.000
ROLDANILLO= 10.000 CUANDO SON ALEJADOS DEL SECTOR DEBEN PAGAR TRANSPORTE </t>
        </r>
      </text>
    </comment>
    <comment ref="G208" authorId="2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TRANSPORTE CARPA= 32.000 IDA Y REGRESO CARTAGO.
LA UNION: 10.000
ROLDANILLO= 10.000 CUANDO SON ALEJADOS DEL SECTOR DEBEN PAGAR TRANSPORTE </t>
        </r>
      </text>
    </comment>
    <comment ref="H208" authorId="2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TRANSPORTE CARPA= 32.000 IDA Y REGRESO CARTAGO.
LA UNION: 10.000
ROLDANILLO= 10.000 CUANDO SON ALEJADOS DEL SECTOR DEBEN PAGAR TRANSPORTE </t>
        </r>
      </text>
    </comment>
    <comment ref="J208" authorId="2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TRANSPORTE CARPA= 32.000 IDA Y REGRESO CARTAGO.
LA UNION: 10.000
ROLDANILLO= 10.000 CUANDO SON ALEJADOS DEL SECTOR DEBEN PAGAR TRANSPORTE </t>
        </r>
      </text>
    </comment>
    <comment ref="K208" authorId="2" shapeId="0" xr:uid="{00000000-0006-0000-0000-000029000000}">
      <text>
        <r>
          <rPr>
            <b/>
            <sz val="9"/>
            <color indexed="81"/>
            <rFont val="Tahoma"/>
            <family val="2"/>
          </rPr>
          <t>TRANSPORTE DE CARPA</t>
        </r>
      </text>
    </comment>
    <comment ref="L208" authorId="2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TRANSPORTE CARPA= 32.000 IDA Y REGRESO CARTAGO.
LA UNION: 10.000
ROLDANILLO= 10.000 CUANDO SON ALEJADOS DEL SECTOR DEBEN PAGAR TRANSPORTE </t>
        </r>
      </text>
    </comment>
    <comment ref="C217" authorId="4" shapeId="0" xr:uid="{00000000-0006-0000-0000-00002B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pendón ren local de emprendimiento</t>
        </r>
      </text>
    </comment>
    <comment ref="D219" authorId="2" shapeId="0" xr:uid="{00000000-0006-0000-0000-00002C000000}">
      <text>
        <r>
          <rPr>
            <b/>
            <sz val="9"/>
            <color indexed="81"/>
            <rFont val="Tahoma"/>
            <family val="2"/>
          </rPr>
          <t>VOLANTES CAMPAÑA DE RENOVACION CON 5 MUNICIPIOS DE LA JURISDICCION. 6.000 $ 700.000 MAS 5.000 VOLANTES DE LA SIC INVITANDO A RENOVACIÓN MULTA $ 500.000</t>
        </r>
      </text>
    </comment>
    <comment ref="C221" authorId="2" shapeId="0" xr:uid="{00000000-0006-0000-0000-00002D000000}">
      <text>
        <r>
          <rPr>
            <b/>
            <sz val="9"/>
            <color indexed="81"/>
            <rFont val="Tahoma"/>
            <family val="2"/>
          </rPr>
          <t>2.000 Volantes con información del Programa Cámara en su Barrio.
2.000 tacos con el programa detalle para los visitados</t>
        </r>
      </text>
    </comment>
    <comment ref="C222" authorId="2" shapeId="0" xr:uid="{00000000-0006-0000-0000-00002E000000}">
      <text>
        <r>
          <rPr>
            <b/>
            <sz val="9"/>
            <color indexed="81"/>
            <rFont val="Tahoma"/>
            <family val="2"/>
          </rPr>
          <t>portafolio servicios: compartido, conciliacion</t>
        </r>
      </text>
    </comment>
    <comment ref="F222" authorId="2" shapeId="0" xr:uid="{00000000-0006-0000-0000-00002F000000}">
      <text>
        <r>
          <rPr>
            <b/>
            <sz val="9"/>
            <color indexed="81"/>
            <rFont val="Tahoma"/>
            <family val="2"/>
          </rPr>
          <t>2000 volantes</t>
        </r>
      </text>
    </comment>
    <comment ref="G222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conciliaton, volantes,</t>
        </r>
      </text>
    </comment>
    <comment ref="K222" authorId="2" shapeId="0" xr:uid="{00000000-0006-0000-0000-000031000000}">
      <text>
        <r>
          <rPr>
            <b/>
            <sz val="9"/>
            <color indexed="81"/>
            <rFont val="Tahoma"/>
            <family val="2"/>
          </rPr>
          <t>conciliaton, volantes,</t>
        </r>
      </text>
    </comment>
    <comment ref="C231" authorId="1" shapeId="0" xr:uid="{00000000-0006-0000-0000-00003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gigantografia</t>
        </r>
      </text>
    </comment>
    <comment ref="C233" authorId="2" shapeId="0" xr:uid="{00000000-0006-0000-0000-000033000000}">
      <text>
        <r>
          <rPr>
            <b/>
            <sz val="9"/>
            <color indexed="81"/>
            <rFont val="Tahoma"/>
            <family val="2"/>
          </rPr>
          <t>PAUTA PUBLICITARIA EN CANAL LOCAL, PAUTA EN EMISIORA O PERIFONEO DONDE ESTA PERMITIDO 5 JORNADAS</t>
        </r>
      </text>
    </comment>
    <comment ref="D233" authorId="2" shapeId="0" xr:uid="{00000000-0006-0000-0000-000034000000}">
      <text>
        <r>
          <rPr>
            <b/>
            <sz val="9"/>
            <color indexed="81"/>
            <rFont val="Tahoma"/>
            <family val="2"/>
          </rPr>
          <t>PAUTA PUBLICITARIA EN CANAL LOCAL, PAUTA EN EMISIORA O PERIFONEO DONDE ESTA PERMITIDO 5 JORNADAS</t>
        </r>
      </text>
    </comment>
    <comment ref="G23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PAUTA RADIAL, CANAL O PERIFONEO SI ES PERMITIDO</t>
        </r>
      </text>
    </comment>
    <comment ref="K23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PAUTA RADIAL, CANAL O PERIFONEO SI ES PERMITIDO</t>
        </r>
      </text>
    </comment>
    <comment ref="J270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50 fotos</t>
        </r>
      </text>
    </comment>
    <comment ref="C285" authorId="2" shapeId="0" xr:uid="{00000000-0006-0000-0000-000038000000}">
      <text>
        <r>
          <rPr>
            <b/>
            <sz val="9"/>
            <color indexed="81"/>
            <rFont val="Tahoma"/>
            <family val="2"/>
          </rPr>
          <t>Fumigacion oficina principal cartago $208.400
Compra de 1 Termohigrometros para control de temperatura en archivo de registros públicos $156.300</t>
        </r>
      </text>
    </comment>
    <comment ref="F285" authorId="2" shapeId="0" xr:uid="{00000000-0006-0000-0000-000039000000}">
      <text>
        <r>
          <rPr>
            <b/>
            <sz val="9"/>
            <color indexed="81"/>
            <rFont val="Tahoma"/>
            <family val="2"/>
          </rPr>
          <t>Fumigación archivo de registros públicos y archivo central</t>
        </r>
      </text>
    </comment>
    <comment ref="H285" authorId="5" shapeId="0" xr:uid="{00000000-0006-0000-0000-00003A000000}">
      <text>
        <r>
          <rPr>
            <b/>
            <sz val="9"/>
            <color indexed="81"/>
            <rFont val="Tahoma"/>
            <family val="2"/>
          </rPr>
          <t>Fumigación oficinas receptoras la unión y roldanillo</t>
        </r>
      </text>
    </comment>
    <comment ref="I285" authorId="2" shapeId="0" xr:uid="{00000000-0006-0000-0000-00003B000000}">
      <text>
        <r>
          <rPr>
            <b/>
            <sz val="9"/>
            <color indexed="81"/>
            <rFont val="Tahoma"/>
            <family val="2"/>
          </rPr>
          <t>Fumigación archivo de registros públicos y archivo central</t>
        </r>
      </text>
    </comment>
    <comment ref="L285" authorId="2" shapeId="0" xr:uid="{00000000-0006-0000-0000-00003C000000}">
      <text>
        <r>
          <rPr>
            <b/>
            <sz val="9"/>
            <color indexed="81"/>
            <rFont val="Tahoma"/>
            <family val="2"/>
          </rPr>
          <t>Fumigación archivo de registros públicos y archivo central</t>
        </r>
      </text>
    </comment>
    <comment ref="N285" authorId="5" shapeId="0" xr:uid="{00000000-0006-0000-0000-00003D000000}">
      <text>
        <r>
          <rPr>
            <b/>
            <sz val="9"/>
            <color indexed="81"/>
            <rFont val="Tahoma"/>
            <family val="2"/>
          </rPr>
          <t>Fumigación oficinas receptoras la unión y roldanillo</t>
        </r>
      </text>
    </comment>
    <comment ref="E319" authorId="6" shapeId="0" xr:uid="{00000000-0006-0000-0000-00003E000000}">
      <text>
        <r>
          <rPr>
            <sz val="9"/>
            <color indexed="81"/>
            <rFont val="Tahoma"/>
            <family val="2"/>
          </rPr>
          <t>Hospedaje 2 Dias para 2 persona para realizar taller  –  PGD LEXCO CALI</t>
        </r>
      </text>
    </comment>
    <comment ref="G319" authorId="6" shapeId="0" xr:uid="{00000000-0006-0000-0000-00003F000000}">
      <text>
        <r>
          <rPr>
            <sz val="9"/>
            <color indexed="81"/>
            <rFont val="Tahoma"/>
            <family val="2"/>
          </rPr>
          <t>Hospedaje 2 Dias para 2 persona para realizar taller  –  PGD LEXCO CALI</t>
        </r>
      </text>
    </comment>
    <comment ref="H319" authorId="6" shapeId="0" xr:uid="{00000000-0006-0000-0000-000040000000}">
      <text>
        <r>
          <rPr>
            <sz val="9"/>
            <color indexed="81"/>
            <rFont val="Tahoma"/>
            <family val="2"/>
          </rPr>
          <t>Hospedaje 2 Dias para 2 persona para realizar taller  –  PGD LEXCO CALI</t>
        </r>
      </text>
    </comment>
    <comment ref="J320" authorId="7" shapeId="0" xr:uid="{00000000-0006-0000-0000-000041000000}">
      <text>
        <r>
          <rPr>
            <b/>
            <sz val="9"/>
            <color indexed="81"/>
            <rFont val="Tahoma"/>
            <family val="2"/>
          </rPr>
          <t>Comité de Registro</t>
        </r>
      </text>
    </comment>
    <comment ref="D322" authorId="8" shapeId="0" xr:uid="{00000000-0006-0000-0000-000042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Citas Bogotá </t>
        </r>
      </text>
    </comment>
    <comment ref="G322" authorId="8" shapeId="0" xr:uid="{00000000-0006-0000-0000-000043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Citas Bogotá </t>
        </r>
      </text>
    </comment>
    <comment ref="H322" authorId="8" shapeId="0" xr:uid="{00000000-0006-0000-0000-000044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Alojamiento Encuentro de Cámaras de Comercio </t>
        </r>
      </text>
    </comment>
    <comment ref="I322" authorId="8" shapeId="0" xr:uid="{00000000-0006-0000-0000-000045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Hotel Socialización Gran Encuesta PYME </t>
        </r>
      </text>
    </comment>
    <comment ref="J322" authorId="8" shapeId="0" xr:uid="{00000000-0006-0000-0000-000046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Hotel citas Bogotá</t>
        </r>
      </text>
    </comment>
    <comment ref="K322" authorId="8" shapeId="0" xr:uid="{00000000-0006-0000-0000-000047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Hotel Junta Confecámaras </t>
        </r>
      </text>
    </comment>
    <comment ref="L322" authorId="8" shapeId="0" xr:uid="{00000000-0006-0000-0000-000048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Hotel Junta Confecámaras </t>
        </r>
      </text>
    </comment>
    <comment ref="M322" authorId="8" shapeId="0" xr:uid="{00000000-0006-0000-0000-000049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Hotel Junta Confecámaras 
Hotel Citas Bogotá </t>
        </r>
      </text>
    </comment>
    <comment ref="N322" authorId="8" shapeId="0" xr:uid="{00000000-0006-0000-0000-00004A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Hotel Junta Confecámaras </t>
        </r>
      </text>
    </comment>
    <comment ref="D333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Reunión proponentes</t>
        </r>
      </text>
    </comment>
    <comment ref="J333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Reunión proponentes</t>
        </r>
      </text>
    </comment>
    <comment ref="L333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Reunión proponentes</t>
        </r>
      </text>
    </comment>
    <comment ref="D335" authorId="8" shapeId="0" xr:uid="{00000000-0006-0000-0000-00004E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Eventos Medellín 
Citas Bogotá 
</t>
        </r>
      </text>
    </comment>
    <comment ref="G335" authorId="8" shapeId="0" xr:uid="{00000000-0006-0000-0000-00004F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Tiquete Taller de Reputación para Presidentes 
Tiquete citas Bogotá</t>
        </r>
      </text>
    </comment>
    <comment ref="H335" authorId="8" shapeId="0" xr:uid="{00000000-0006-0000-0000-000050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Encuentro de Cámaras de Comercio 
Eventos Medellín</t>
        </r>
      </text>
    </comment>
    <comment ref="I335" authorId="8" shapeId="0" xr:uid="{00000000-0006-0000-0000-000051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Tiquete socialización Gran Encuesta Pyme en Bogotá </t>
        </r>
      </text>
    </comment>
    <comment ref="J335" authorId="8" shapeId="0" xr:uid="{00000000-0006-0000-0000-000052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Citas Bogotá </t>
        </r>
      </text>
    </comment>
    <comment ref="K335" authorId="8" shapeId="0" xr:uid="{00000000-0006-0000-0000-000053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Tiquete Bogotá Junta Confecámaras </t>
        </r>
      </text>
    </comment>
    <comment ref="L335" authorId="8" shapeId="0" xr:uid="{00000000-0006-0000-0000-000054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Tiquete Bogotá Junta Confecámaras 
Tiquete eventos Medellin </t>
        </r>
      </text>
    </comment>
    <comment ref="M335" authorId="8" shapeId="0" xr:uid="{00000000-0006-0000-0000-000055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Tiquete Bogotá Junta Confecámaras 
Tiquete citas Bogotá </t>
        </r>
      </text>
    </comment>
    <comment ref="N335" authorId="8" shapeId="0" xr:uid="{00000000-0006-0000-0000-000056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Tiquete Bogotá Junta Confecámaras 
</t>
        </r>
      </text>
    </comment>
    <comment ref="J337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Encuentro de calidad</t>
        </r>
      </text>
    </comment>
    <comment ref="M342" authorId="4" shapeId="0" xr:uid="{00000000-0006-0000-0000-000058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pasajes evento semana global de emprendimiento</t>
        </r>
      </text>
    </comment>
    <comment ref="F347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Trasnporte auditor de ICONTEC</t>
        </r>
      </text>
    </comment>
    <comment ref="C349" authorId="2" shapeId="0" xr:uid="{00000000-0006-0000-0000-00005A000000}">
      <text>
        <r>
          <rPr>
            <b/>
            <sz val="9"/>
            <color indexed="81"/>
            <rFont val="Tahoma"/>
            <family val="2"/>
          </rPr>
          <t xml:space="preserve">5 JORNADAS: ASISTENTES 5
53.000 POR PERSONA </t>
        </r>
      </text>
    </comment>
    <comment ref="D349" authorId="2" shapeId="0" xr:uid="{00000000-0006-0000-0000-00005B000000}">
      <text>
        <r>
          <rPr>
            <b/>
            <sz val="9"/>
            <color indexed="81"/>
            <rFont val="Tahoma"/>
            <family val="2"/>
          </rPr>
          <t xml:space="preserve">5 JORNADAS: ASISTENTES 5
53.000 POR PERSONA </t>
        </r>
      </text>
    </comment>
    <comment ref="E349" authorId="2" shapeId="0" xr:uid="{00000000-0006-0000-0000-00005C000000}">
      <text>
        <r>
          <rPr>
            <b/>
            <sz val="9"/>
            <color indexed="81"/>
            <rFont val="Tahoma"/>
            <family val="2"/>
          </rPr>
          <t>1 JORNADA
4 ASISTENTES  POR 53.000</t>
        </r>
      </text>
    </comment>
    <comment ref="F349" authorId="2" shapeId="0" xr:uid="{00000000-0006-0000-0000-00005D000000}">
      <text>
        <r>
          <rPr>
            <b/>
            <sz val="9"/>
            <color indexed="81"/>
            <rFont val="Tahoma"/>
            <family val="2"/>
          </rPr>
          <t>1 JORNADA 3 PERSONAS</t>
        </r>
      </text>
    </comment>
    <comment ref="G349" authorId="2" shapeId="0" xr:uid="{00000000-0006-0000-0000-00005E000000}">
      <text>
        <r>
          <rPr>
            <b/>
            <sz val="9"/>
            <color indexed="81"/>
            <rFont val="Tahoma"/>
            <family val="2"/>
          </rPr>
          <t>1 JORNADA 3 ASISTTENTES POR 53.000</t>
        </r>
      </text>
    </comment>
    <comment ref="H349" authorId="2" shapeId="0" xr:uid="{00000000-0006-0000-0000-00005F000000}">
      <text>
        <r>
          <rPr>
            <b/>
            <sz val="9"/>
            <color indexed="81"/>
            <rFont val="Tahoma"/>
            <family val="2"/>
          </rPr>
          <t>3 JORNADAS POR 3 ASISTISTENTES 53.000</t>
        </r>
      </text>
    </comment>
    <comment ref="I349" authorId="2" shapeId="0" xr:uid="{00000000-0006-0000-0000-000060000000}">
      <text>
        <r>
          <rPr>
            <b/>
            <sz val="9"/>
            <color indexed="81"/>
            <rFont val="Tahoma"/>
            <family val="2"/>
          </rPr>
          <t>3 JORNADAS POR 3 ASISTISTENTES 53.000</t>
        </r>
      </text>
    </comment>
    <comment ref="J349" authorId="2" shapeId="0" xr:uid="{00000000-0006-0000-0000-000061000000}">
      <text>
        <r>
          <rPr>
            <b/>
            <sz val="9"/>
            <color indexed="81"/>
            <rFont val="Tahoma"/>
            <family val="2"/>
          </rPr>
          <t>2 JORNADAS 2 ASISTTENTES 53.000</t>
        </r>
      </text>
    </comment>
    <comment ref="K349" authorId="2" shapeId="0" xr:uid="{00000000-0006-0000-0000-000062000000}">
      <text>
        <r>
          <rPr>
            <b/>
            <sz val="9"/>
            <color indexed="81"/>
            <rFont val="Tahoma"/>
            <family val="2"/>
          </rPr>
          <t>2 JORNADAS 2 ASISTTENTES 53.000</t>
        </r>
      </text>
    </comment>
    <comment ref="L349" authorId="2" shapeId="0" xr:uid="{00000000-0006-0000-0000-000063000000}">
      <text>
        <r>
          <rPr>
            <b/>
            <sz val="9"/>
            <color indexed="81"/>
            <rFont val="Tahoma"/>
            <family val="2"/>
          </rPr>
          <t>1 JORNADA 2 ASISTENTES</t>
        </r>
      </text>
    </comment>
    <comment ref="D357" authorId="6" shapeId="0" xr:uid="{00000000-0006-0000-0000-000064000000}">
      <text>
        <r>
          <rPr>
            <sz val="9"/>
            <color indexed="81"/>
            <rFont val="Tahoma"/>
            <family val="2"/>
          </rPr>
          <t>Visitas mensuales de CI a las oficinas receptoras.
Capacitacion en control Interno - CONFECAMARAS</t>
        </r>
      </text>
    </comment>
    <comment ref="E357" authorId="6" shapeId="0" xr:uid="{00000000-0006-0000-0000-000065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F357" authorId="6" shapeId="0" xr:uid="{00000000-0006-0000-0000-000066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G357" authorId="6" shapeId="0" xr:uid="{00000000-0006-0000-0000-000067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H357" authorId="6" shapeId="0" xr:uid="{00000000-0006-0000-0000-000068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I357" authorId="6" shapeId="0" xr:uid="{00000000-0006-0000-0000-000069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J357" authorId="6" shapeId="0" xr:uid="{00000000-0006-0000-0000-00006A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K357" authorId="6" shapeId="0" xr:uid="{00000000-0006-0000-0000-00006B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L357" authorId="6" shapeId="0" xr:uid="{00000000-0006-0000-0000-00006C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M357" authorId="6" shapeId="0" xr:uid="{00000000-0006-0000-0000-00006D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N357" authorId="6" shapeId="0" xr:uid="{00000000-0006-0000-0000-00006E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G361" authorId="2" shapeId="0" xr:uid="{00000000-0006-0000-0000-00006F000000}">
      <text>
        <r>
          <rPr>
            <b/>
            <sz val="9"/>
            <color indexed="81"/>
            <rFont val="Tahoma"/>
            <family val="2"/>
          </rPr>
          <t>5 PERSONAS, PARA EL TRANSPORTE DE TODOS</t>
        </r>
      </text>
    </comment>
    <comment ref="D406" authorId="1" shapeId="0" xr:uid="{00000000-0006-0000-0000-00007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Comité control interno
Comité Juridico
</t>
        </r>
      </text>
    </comment>
    <comment ref="F406" authorId="1" shapeId="0" xr:uid="{00000000-0006-0000-0000-00007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comité comunicaciones
</t>
        </r>
      </text>
    </comment>
    <comment ref="H406" authorId="1" shapeId="0" xr:uid="{00000000-0006-0000-0000-00007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comité competitividad
</t>
        </r>
      </text>
    </comment>
    <comment ref="K406" authorId="1" shapeId="0" xr:uid="{00000000-0006-0000-0000-00007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comité DAF-Contadores
</t>
        </r>
      </text>
    </comment>
    <comment ref="G409" authorId="2" shapeId="0" xr:uid="{00000000-0006-0000-0000-000074000000}">
      <text>
        <r>
          <rPr>
            <b/>
            <sz val="9"/>
            <color indexed="81"/>
            <rFont val="Tahoma"/>
            <family val="2"/>
          </rPr>
          <t>Desayuno Bienvenida a los conciliadores</t>
        </r>
      </text>
    </comment>
    <comment ref="K409" authorId="2" shapeId="0" xr:uid="{00000000-0006-0000-0000-000075000000}">
      <text>
        <r>
          <rPr>
            <b/>
            <sz val="9"/>
            <color indexed="81"/>
            <rFont val="Tahoma"/>
            <family val="2"/>
          </rPr>
          <t>Desayuno conciliaton</t>
        </r>
      </text>
    </comment>
    <comment ref="G414" authorId="2" shapeId="0" xr:uid="{00000000-0006-0000-0000-000076000000}">
      <text>
        <r>
          <rPr>
            <b/>
            <sz val="9"/>
            <color indexed="81"/>
            <rFont val="Tahoma"/>
            <family val="2"/>
          </rPr>
          <t>REFRIGERIO 80.000
ALMUERZO 200.000</t>
        </r>
      </text>
    </comment>
    <comment ref="K414" authorId="2" shapeId="0" xr:uid="{00000000-0006-0000-0000-000077000000}">
      <text>
        <r>
          <rPr>
            <b/>
            <sz val="9"/>
            <color indexed="81"/>
            <rFont val="Tahoma"/>
            <family val="2"/>
          </rPr>
          <t>REFRIGERIO 80.000
ALMUERZO 200.000</t>
        </r>
      </text>
    </comment>
    <comment ref="D415" authorId="4" shapeId="0" xr:uid="{00000000-0006-0000-0000-000078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Refrigerios red local de emprendimiento</t>
        </r>
      </text>
    </comment>
    <comment ref="M415" authorId="4" shapeId="0" xr:uid="{00000000-0006-0000-0000-000079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refrigerios reunion red local de emprendimiento y evento semana global
</t>
        </r>
      </text>
    </comment>
    <comment ref="I432" authorId="1" shapeId="0" xr:uid="{00000000-0006-0000-0000-00007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capacitacion conciliadores</t>
        </r>
      </text>
    </comment>
    <comment ref="J434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luces y sonido de apoiyo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promocion</author>
    <author>Promocion</author>
    <author>Camara de Comercio de Cartago</author>
    <author>Presidencia</author>
    <author>Usuario</author>
    <author>Camara de Comercio</author>
    <author>ASISTENTE PRESID</author>
  </authors>
  <commentList>
    <comment ref="D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ACTUALIZACION TRIBUTARIA</t>
        </r>
      </text>
    </comment>
    <comment ref="E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INFORMACIÓN EXOGENA</t>
        </r>
      </text>
    </comment>
    <comment ref="F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DECLARACION DE RENTA Y CURSO DE TURISMO</t>
        </r>
      </text>
    </comment>
    <comment ref="G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CIERRE EFECTIVO DE VENTAS Y CURSO DE TURISMO</t>
        </r>
      </text>
    </comment>
    <comment ref="H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NEUROMARKETIG</t>
        </r>
      </text>
    </comment>
    <comment ref="L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LABORAL</t>
        </r>
      </text>
    </comment>
    <comment ref="M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CIERRE FISCAL</t>
        </r>
      </text>
    </comment>
    <comment ref="G22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Pauta de la publicidad de la revista empresarial
</t>
        </r>
      </text>
    </comment>
    <comment ref="K23" authorId="2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Pauta publicitaria revista empresarial; pauta publicitaria feria universitaria
</t>
        </r>
      </text>
    </comment>
    <comment ref="L2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Pauta de la publicidad de la revista empresarial
</t>
        </r>
      </text>
    </comment>
    <comment ref="K36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promocion:
</t>
        </r>
        <r>
          <rPr>
            <sz val="9"/>
            <color indexed="81"/>
            <rFont val="Tahoma"/>
            <family val="2"/>
          </rPr>
          <t>Feria universitaria</t>
        </r>
      </text>
    </comment>
    <comment ref="H64" authorId="3" shapeId="0" xr:uid="{00000000-0006-0000-0100-00000D000000}">
      <text>
        <r>
          <rPr>
            <b/>
            <sz val="9"/>
            <color indexed="81"/>
            <rFont val="Tahoma"/>
            <family val="2"/>
          </rPr>
          <t>C</t>
        </r>
        <r>
          <rPr>
            <sz val="9"/>
            <color indexed="81"/>
            <rFont val="Tahoma"/>
            <family val="2"/>
          </rPr>
          <t>umplimiento de metas directivos.
Presidencia $7,452.000
Competitividad $2,683,000
DAF $2,683,000
Juridica $2,0250000</t>
        </r>
      </text>
    </comment>
    <comment ref="N64" authorId="3" shapeId="0" xr:uid="{00000000-0006-0000-0100-00000E000000}">
      <text>
        <r>
          <rPr>
            <b/>
            <sz val="9"/>
            <color indexed="81"/>
            <rFont val="Tahoma"/>
            <family val="2"/>
          </rPr>
          <t>C</t>
        </r>
        <r>
          <rPr>
            <sz val="9"/>
            <color indexed="81"/>
            <rFont val="Tahoma"/>
            <family val="2"/>
          </rPr>
          <t>umplimiento de metas directivos.
Presidencia $7,452.000
Competitividad $2,683,000
DAF $2,683,000
Juridica $2,0250000</t>
        </r>
      </text>
    </comment>
    <comment ref="D6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COMISIONES COMERCIAL</t>
        </r>
      </text>
    </comment>
    <comment ref="C67" authorId="4" shapeId="0" xr:uid="{00000000-0006-0000-0100-00001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manejo de equipos audio y video</t>
        </r>
      </text>
    </comment>
    <comment ref="F116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campaña llamada deposito estados financieros
</t>
        </r>
      </text>
    </comment>
    <comment ref="E129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envio carta de recordación estados financieros
y correo masivo</t>
        </r>
      </text>
    </comment>
    <comment ref="F12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mensaje de texto </t>
        </r>
      </text>
    </comment>
    <comment ref="K129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Requerimiento</t>
        </r>
      </text>
    </comment>
    <comment ref="D13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tarjetas de cumpleaños y volantes</t>
        </r>
      </text>
    </comment>
    <comment ref="C140" authorId="5" shapeId="0" xr:uid="{00000000-0006-0000-0100-000016000000}">
      <text>
        <r>
          <rPr>
            <b/>
            <sz val="9"/>
            <color indexed="81"/>
            <rFont val="Tahoma"/>
            <family val="2"/>
          </rPr>
          <t>portafolio servicios: compartido, conciliacion</t>
        </r>
      </text>
    </comment>
    <comment ref="F140" authorId="5" shapeId="0" xr:uid="{00000000-0006-0000-0100-000017000000}">
      <text>
        <r>
          <rPr>
            <b/>
            <sz val="9"/>
            <color indexed="81"/>
            <rFont val="Tahoma"/>
            <family val="2"/>
          </rPr>
          <t>2000 volantes</t>
        </r>
      </text>
    </comment>
    <comment ref="G140" authorId="5" shapeId="0" xr:uid="{00000000-0006-0000-0100-000018000000}">
      <text>
        <r>
          <rPr>
            <b/>
            <sz val="9"/>
            <color indexed="81"/>
            <rFont val="Tahoma"/>
            <family val="2"/>
          </rPr>
          <t>conciliaton, volantes,</t>
        </r>
      </text>
    </comment>
    <comment ref="K140" authorId="5" shapeId="0" xr:uid="{00000000-0006-0000-0100-000019000000}">
      <text>
        <r>
          <rPr>
            <b/>
            <sz val="9"/>
            <color indexed="81"/>
            <rFont val="Tahoma"/>
            <family val="2"/>
          </rPr>
          <t>conciliaton, volantes,</t>
        </r>
      </text>
    </comment>
    <comment ref="C168" authorId="4" shapeId="0" xr:uid="{00000000-0006-0000-0100-00001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acometida electrica aire nuevo auditorio 2</t>
        </r>
      </text>
    </comment>
    <comment ref="J174" authorId="6" shapeId="0" xr:uid="{00000000-0006-0000-0100-00001B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Encuentro Comisiones Regionales de Competitividad </t>
        </r>
      </text>
    </comment>
    <comment ref="K174" authorId="6" shapeId="0" xr:uid="{00000000-0006-0000-0100-00001C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Alojamiento Congreso Nacional de Exportadores</t>
        </r>
      </text>
    </comment>
    <comment ref="M174" authorId="6" shapeId="0" xr:uid="{00000000-0006-0000-0100-00001D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Alojamiento Congreso Nacional de Infraestuctura (Doctora Mónica y Doctor Ricardo Andrés)
Alojamiento Informe Nacional de Competitividad </t>
        </r>
      </text>
    </comment>
    <comment ref="J177" authorId="6" shapeId="0" xr:uid="{00000000-0006-0000-0100-00001E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Encuentro Comisiones Regionales de Competitividad </t>
        </r>
      </text>
    </comment>
    <comment ref="K177" authorId="6" shapeId="0" xr:uid="{00000000-0006-0000-0100-00001F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Congreso Nacional de Exportadores</t>
        </r>
      </text>
    </comment>
    <comment ref="M177" authorId="6" shapeId="0" xr:uid="{00000000-0006-0000-0100-000020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Tiquetes aéreos Congreso de Infraestructura (Doctora Mónica y Doctor Ricardo Andrés)
Tiquete Bogotá Informe Nacional de Competitividad</t>
        </r>
      </text>
    </comment>
    <comment ref="J180" authorId="5" shapeId="0" xr:uid="{00000000-0006-0000-0100-000021000000}">
      <text>
        <r>
          <rPr>
            <b/>
            <sz val="9"/>
            <color indexed="81"/>
            <rFont val="Tahoma"/>
            <family val="2"/>
          </rPr>
          <t>145.000 director
120.000 secretario</t>
        </r>
      </text>
    </comment>
    <comment ref="D182" authorId="6" shapeId="0" xr:uid="{00000000-0006-0000-0100-000022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 
Seminario Macroeconómico ANIF</t>
        </r>
      </text>
    </comment>
    <comment ref="E182" authorId="6" shapeId="0" xr:uid="{00000000-0006-0000-0100-000023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 
Asamblea Centro de Eventos </t>
        </r>
      </text>
    </comment>
    <comment ref="F182" authorId="6" shapeId="0" xr:uid="{00000000-0006-0000-0100-000024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
Comité Ejecutivo CRC </t>
        </r>
      </text>
    </comment>
    <comment ref="G182" authorId="6" shapeId="0" xr:uid="{00000000-0006-0000-0100-000025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 </t>
        </r>
      </text>
    </comment>
    <comment ref="H182" authorId="6" shapeId="0" xr:uid="{00000000-0006-0000-0100-000026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</t>
        </r>
      </text>
    </comment>
    <comment ref="I182" authorId="6" shapeId="0" xr:uid="{00000000-0006-0000-0100-000027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</t>
        </r>
      </text>
    </comment>
    <comment ref="J182" authorId="6" shapeId="0" xr:uid="{00000000-0006-0000-0100-000028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
Seminario Macroeconómico ANIF
Encuentro Comisiones Regionales de Competitividad</t>
        </r>
      </text>
    </comment>
    <comment ref="K182" authorId="6" shapeId="0" xr:uid="{00000000-0006-0000-0100-000029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
Comité Ejecutivo CRC 
Congreso Nacional de Exportadores</t>
        </r>
      </text>
    </comment>
    <comment ref="L182" authorId="6" shapeId="0" xr:uid="{00000000-0006-0000-0100-00002A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</t>
        </r>
      </text>
    </comment>
    <comment ref="M182" authorId="6" shapeId="0" xr:uid="{00000000-0006-0000-0100-00002B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Viáticos Cartagena Congreso Nal de Infraestructura (Doctora Mónica y Doctor Ricardo)
Bloque Parlamentario  
Lanzamiento Informe Nacional de Competitividad</t>
        </r>
      </text>
    </comment>
    <comment ref="G204" authorId="5" shapeId="0" xr:uid="{00000000-0006-0000-0100-00002C000000}">
      <text>
        <r>
          <rPr>
            <b/>
            <sz val="9"/>
            <color indexed="81"/>
            <rFont val="Tahoma"/>
            <family val="2"/>
          </rPr>
          <t>Desayuno Bienvenida a los conciliadores</t>
        </r>
      </text>
    </comment>
    <comment ref="K204" authorId="5" shapeId="0" xr:uid="{00000000-0006-0000-0100-00002D000000}">
      <text>
        <r>
          <rPr>
            <b/>
            <sz val="9"/>
            <color indexed="81"/>
            <rFont val="Tahoma"/>
            <family val="2"/>
          </rPr>
          <t>Desayuno conciliaton</t>
        </r>
      </text>
    </comment>
    <comment ref="E211" authorId="4" shapeId="0" xr:uid="{00000000-0006-0000-0100-00002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dia de la mujer</t>
        </r>
      </text>
    </comment>
    <comment ref="F211" authorId="4" shapeId="0" xr:uid="{00000000-0006-0000-0100-00002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dia de la secretaria</t>
        </r>
      </text>
    </comment>
    <comment ref="G211" authorId="4" shapeId="0" xr:uid="{00000000-0006-0000-0100-00003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dia de la madre</t>
        </r>
      </text>
    </comment>
    <comment ref="H211" authorId="4" shapeId="0" xr:uid="{00000000-0006-0000-0100-00003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día del padre</t>
        </r>
      </text>
    </comment>
    <comment ref="J211" authorId="4" shapeId="0" xr:uid="{00000000-0006-0000-0100-00003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amor y amistad
</t>
        </r>
      </text>
    </comment>
    <comment ref="K211" authorId="4" shapeId="0" xr:uid="{00000000-0006-0000-0100-00003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almuerzo desayuno yincana</t>
        </r>
      </text>
    </comment>
    <comment ref="L211" authorId="4" shapeId="0" xr:uid="{00000000-0006-0000-0100-00003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Hallowwen</t>
        </r>
      </text>
    </comment>
    <comment ref="N215" authorId="3" shapeId="0" xr:uid="{00000000-0006-0000-0100-000035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Obsequios mienbros de Junta por Navidad</t>
        </r>
      </text>
    </comment>
    <comment ref="C217" authorId="4" shapeId="0" xr:uid="{00000000-0006-0000-0100-00003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 cumpleaños</t>
        </r>
      </text>
    </comment>
    <comment ref="D217" authorId="4" shapeId="0" xr:uid="{00000000-0006-0000-0100-00003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 cumpleaños bombas (18.000 c/u)</t>
        </r>
      </text>
    </comment>
    <comment ref="E217" authorId="4" shapeId="0" xr:uid="{00000000-0006-0000-0100-00003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dia de la mujer 4485.000
6 cumpleaños  (18.000 c/u)</t>
        </r>
      </text>
    </comment>
    <comment ref="F217" authorId="4" shapeId="0" xr:uid="{00000000-0006-0000-0100-00003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 cumpleaños  (18.000 c/u)</t>
        </r>
      </text>
    </comment>
    <comment ref="G217" authorId="4" shapeId="0" xr:uid="{00000000-0006-0000-0100-00003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dia de la madre 288.000
2 cumpleaños (18.000 c/u)</t>
        </r>
      </text>
    </comment>
    <comment ref="H217" authorId="4" shapeId="0" xr:uid="{00000000-0006-0000-0100-00003B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dia del padre 110.000
3 cumpleaños
valoracion fisica 875.000</t>
        </r>
      </text>
    </comment>
    <comment ref="I217" authorId="4" shapeId="0" xr:uid="{00000000-0006-0000-0100-00003C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 cumpleaños
integracion 1.000.000</t>
        </r>
      </text>
    </comment>
    <comment ref="J217" authorId="4" shapeId="0" xr:uid="{00000000-0006-0000-0100-00003D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amor y amistad 200.000
1 cumpleaños 18.000</t>
        </r>
      </text>
    </comment>
    <comment ref="K217" authorId="4" shapeId="0" xr:uid="{00000000-0006-0000-0100-00003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8 cumpleaños
yincanas</t>
        </r>
      </text>
    </comment>
    <comment ref="L217" authorId="4" shapeId="0" xr:uid="{00000000-0006-0000-0100-00003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halloweem 370000
5 cumpelaños</t>
        </r>
      </text>
    </comment>
    <comment ref="M217" authorId="4" shapeId="0" xr:uid="{00000000-0006-0000-0100-00004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 cumpleaños</t>
        </r>
      </text>
    </comment>
    <comment ref="N217" authorId="4" shapeId="0" xr:uid="{00000000-0006-0000-0100-00004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novenas diciembre 1.050.000
2 cumpleaños</t>
        </r>
      </text>
    </comment>
    <comment ref="H219" authorId="2" shapeId="0" xr:uid="{00000000-0006-0000-0100-000042000000}">
      <text>
        <r>
          <rPr>
            <sz val="9"/>
            <color indexed="81"/>
            <rFont val="Tahoma"/>
            <family val="2"/>
          </rPr>
          <t xml:space="preserve">manteles
</t>
        </r>
      </text>
    </comment>
    <comment ref="C225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Bolsas renovación y detalle cumpleaños</t>
        </r>
      </text>
    </comment>
    <comment ref="E225" authorId="5" shapeId="0" xr:uid="{00000000-0006-0000-0100-000044000000}">
      <text>
        <r>
          <rPr>
            <b/>
            <sz val="9"/>
            <color indexed="81"/>
            <rFont val="Tahoma"/>
            <family val="2"/>
          </rPr>
          <t xml:space="preserve">Regalo para Renovados:
</t>
        </r>
      </text>
    </comment>
    <comment ref="H225" authorId="5" shapeId="0" xr:uid="{00000000-0006-0000-0100-000045000000}">
      <text>
        <r>
          <rPr>
            <b/>
            <sz val="9"/>
            <color indexed="81"/>
            <rFont val="Tahoma"/>
            <family val="2"/>
          </rPr>
          <t>DETALLE RIFA NUEVOS EMPRESARIOS</t>
        </r>
      </text>
    </comment>
    <comment ref="J225" authorId="5" shapeId="0" xr:uid="{00000000-0006-0000-0100-000046000000}">
      <text>
        <r>
          <rPr>
            <b/>
            <sz val="9"/>
            <color indexed="81"/>
            <rFont val="Tahoma"/>
            <family val="2"/>
          </rPr>
          <t>DETALLE RIFA NUEVOS EMPRESARIOS</t>
        </r>
      </text>
    </comment>
    <comment ref="M225" authorId="5" shapeId="0" xr:uid="{00000000-0006-0000-0100-000047000000}">
      <text>
        <r>
          <rPr>
            <b/>
            <sz val="9"/>
            <color indexed="81"/>
            <rFont val="Tahoma"/>
            <family val="2"/>
          </rPr>
          <t>DETALLE RIFA NUEVOS EMPRESARIOS</t>
        </r>
      </text>
    </comment>
    <comment ref="I226" authorId="4" shapeId="0" xr:uid="{00000000-0006-0000-0100-00004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capacitacion conciliadores</t>
        </r>
      </text>
    </comment>
    <comment ref="C227" authorId="6" shapeId="0" xr:uid="{00000000-0006-0000-0100-000049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Cumpleaños Patricia Calzada Miembro de Junta Directiva </t>
        </r>
      </text>
    </comment>
    <comment ref="D227" authorId="6" shapeId="0" xr:uid="{00000000-0006-0000-0100-00004A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Cumpleaños Miembros de Junta:
Carla, Doctor Ricardo, Doctor Lopreto 
</t>
        </r>
      </text>
    </comment>
    <comment ref="E227" authorId="6" shapeId="0" xr:uid="{00000000-0006-0000-0100-00004B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Compra de pocillos para obsequios a visitantes </t>
        </r>
      </text>
    </comment>
    <comment ref="G227" authorId="6" shapeId="0" xr:uid="{00000000-0006-0000-0100-00004C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Cumpleaños miembros de junta directiva: John Jairo, Reinel y Esteban. </t>
        </r>
      </text>
    </comment>
    <comment ref="H227" authorId="6" shapeId="0" xr:uid="{00000000-0006-0000-0100-00004D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Cumpleaños miembro de junta: Nora Cecilia Cardona </t>
        </r>
      </text>
    </comment>
    <comment ref="J227" authorId="6" shapeId="0" xr:uid="{00000000-0006-0000-0100-00004E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Compra de guayaberas y blusas para obsequios Congreso Cartagena. </t>
        </r>
      </text>
    </comment>
    <comment ref="L227" authorId="6" shapeId="0" xr:uid="{00000000-0006-0000-0100-00004F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Bloque parlamentario en Cartago </t>
        </r>
      </text>
    </comment>
    <comment ref="M227" authorId="6" shapeId="0" xr:uid="{00000000-0006-0000-0100-000050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Cumpleaños miembros de junta: Jorge Eduardo y Jorge Nelson 
</t>
        </r>
      </text>
    </comment>
    <comment ref="N227" authorId="6" shapeId="0" xr:uid="{00000000-0006-0000-0100-000051000000}">
      <text>
        <r>
          <rPr>
            <b/>
            <sz val="9"/>
            <color indexed="81"/>
            <rFont val="Tahoma"/>
            <family val="2"/>
          </rPr>
          <t>ASISTENTE PRESID:</t>
        </r>
        <r>
          <rPr>
            <sz val="9"/>
            <color indexed="81"/>
            <rFont val="Tahoma"/>
            <family val="2"/>
          </rPr>
          <t xml:space="preserve">
Regalos de navidad miembros de junta directiva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Presidencia</author>
    <author>soporte</author>
    <author>Usuario</author>
  </authors>
  <commentList>
    <comment ref="E5" authorId="0" shapeId="0" xr:uid="{00000000-0006-0000-0E00-000001000000}">
      <text>
        <r>
          <rPr>
            <sz val="9"/>
            <color indexed="81"/>
            <rFont val="Tahoma"/>
            <family val="2"/>
          </rPr>
          <t>Portatil DAF
Computador Nancy
El portatil actual DAF pasa para auditorios</t>
        </r>
      </text>
    </comment>
    <comment ref="B6" authorId="1" shapeId="0" xr:uid="{00000000-0006-0000-0E00-000002000000}">
      <text>
        <r>
          <rPr>
            <sz val="9"/>
            <color indexed="81"/>
            <rFont val="Tahoma"/>
            <family val="2"/>
          </rPr>
          <t>soporte:
Se deben actualizar los equipos de la ventilla 2,8 y 10, oficina Roldanillo (Monica), este pasaria a consulta, igualmente comprar el equipo para cargo de archivo y auxiliar administrativo.</t>
        </r>
      </text>
    </comment>
    <comment ref="B10" authorId="1" shapeId="0" xr:uid="{00000000-0006-0000-0E00-000003000000}">
      <text>
        <r>
          <rPr>
            <b/>
            <sz val="9"/>
            <color indexed="81"/>
            <rFont val="Tahoma"/>
            <family val="2"/>
          </rPr>
          <t>soporte:</t>
        </r>
        <r>
          <rPr>
            <sz val="9"/>
            <color indexed="81"/>
            <rFont val="Tahoma"/>
            <family val="2"/>
          </rPr>
          <t xml:space="preserve">
Se utilizara para el radicado en ventanilla unica, según recomendación del proveedor del sw de GD</t>
        </r>
      </text>
    </comment>
    <comment ref="B13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soporte:</t>
        </r>
        <r>
          <rPr>
            <sz val="9"/>
            <color indexed="81"/>
            <rFont val="Tahoma"/>
            <family val="2"/>
          </rPr>
          <t xml:space="preserve">
El rack actual presenta saturacion por falta de espacio.</t>
        </r>
      </text>
    </comment>
    <comment ref="G19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Adecuacion oficina La Union
</t>
        </r>
      </text>
    </comment>
    <comment ref="E28" authorId="0" shapeId="0" xr:uid="{00000000-0006-0000-0E00-000006000000}">
      <text>
        <r>
          <rPr>
            <sz val="9"/>
            <color indexed="81"/>
            <rFont val="Tahoma"/>
            <family val="2"/>
          </rPr>
          <t>Portatil DAF
Computador Nancy
El portatil actual DAF pasa para auditorios</t>
        </r>
      </text>
    </comment>
  </commentList>
</comments>
</file>

<file path=xl/sharedStrings.xml><?xml version="1.0" encoding="utf-8"?>
<sst xmlns="http://schemas.openxmlformats.org/spreadsheetml/2006/main" count="1563" uniqueCount="923">
  <si>
    <t>CAMARA DE COMERCIO DE CARTAGO</t>
  </si>
  <si>
    <t>HONORARIOS</t>
  </si>
  <si>
    <t>Revisoría Fiscal</t>
  </si>
  <si>
    <t>Otros</t>
  </si>
  <si>
    <t>TOTAL</t>
  </si>
  <si>
    <t>IMPUESTOS</t>
  </si>
  <si>
    <t>Impuesto a la Propiedad Raiz (Predial)</t>
  </si>
  <si>
    <t>ARRENDAMIENTOS</t>
  </si>
  <si>
    <t>CONSTRUCCIONES Y EDIFICACIONES</t>
  </si>
  <si>
    <t>Alquiler oficina La Unión</t>
  </si>
  <si>
    <t>Alquiler oficina Roldanillo</t>
  </si>
  <si>
    <t>EQUIPO DE COMPUT Y COMUNICAC.</t>
  </si>
  <si>
    <t>EQUIPO HOTELES Y RESTAURANTES</t>
  </si>
  <si>
    <t>SEGUROS</t>
  </si>
  <si>
    <t>Manejo</t>
  </si>
  <si>
    <t>Cumplimiento</t>
  </si>
  <si>
    <t>Corriente Débil</t>
  </si>
  <si>
    <t>Incendio</t>
  </si>
  <si>
    <t>Sustracción y Hurto</t>
  </si>
  <si>
    <t>Responsabilidad Civil Extracon</t>
  </si>
  <si>
    <t>Transporte valores</t>
  </si>
  <si>
    <t xml:space="preserve">       Resp.Civil Cámara</t>
  </si>
  <si>
    <t>SERVICIOS</t>
  </si>
  <si>
    <t>Aseo y vigilancia</t>
  </si>
  <si>
    <t>Temporales</t>
  </si>
  <si>
    <t>Acueducto y Alcantarillado</t>
  </si>
  <si>
    <t>Energía Eléctrica</t>
  </si>
  <si>
    <t>Teléfono</t>
  </si>
  <si>
    <t>Correo, Portes y Telegramas</t>
  </si>
  <si>
    <t>Fax y Telex</t>
  </si>
  <si>
    <t xml:space="preserve">     Aseo Emcartago</t>
  </si>
  <si>
    <t xml:space="preserve">     Vigilancia sede principal</t>
  </si>
  <si>
    <t xml:space="preserve">     Monitoreo sede Principal</t>
  </si>
  <si>
    <t xml:space="preserve">     Monitoreo Of. La Unión</t>
  </si>
  <si>
    <t xml:space="preserve">     Monitoreo Of. Roldanillo</t>
  </si>
  <si>
    <t xml:space="preserve">       Resp.Civil Confecámaras</t>
  </si>
  <si>
    <t xml:space="preserve">     Aseo oficina La Unión</t>
  </si>
  <si>
    <t xml:space="preserve">     Serv. Agua Of. Unión-Acuavalle</t>
  </si>
  <si>
    <t xml:space="preserve">     Acueduc-Alcantarill.Emcartago</t>
  </si>
  <si>
    <t xml:space="preserve">     Energía Emcartago</t>
  </si>
  <si>
    <t xml:space="preserve">     Energía Roldanillo</t>
  </si>
  <si>
    <t xml:space="preserve">     Energía La Unión</t>
  </si>
  <si>
    <t xml:space="preserve">      Serv. Telef. Roldanillo</t>
  </si>
  <si>
    <t xml:space="preserve">      Serv. Telef. La Unión</t>
  </si>
  <si>
    <t xml:space="preserve">      Serv. Telef. EPM Cartago</t>
  </si>
  <si>
    <t xml:space="preserve">      Envío corresp. local</t>
  </si>
  <si>
    <t xml:space="preserve">      Envío corresp. Nal-Servientrega</t>
  </si>
  <si>
    <t xml:space="preserve">      Envío corresp.Ofic.receptoras</t>
  </si>
  <si>
    <t>GASTOS LEGALES</t>
  </si>
  <si>
    <t>Notariales</t>
  </si>
  <si>
    <t>MANTENIMIENTO Y REPARACIONES</t>
  </si>
  <si>
    <t>Construcciones y Edificaciones</t>
  </si>
  <si>
    <t xml:space="preserve">       Reparaciones eléctricas</t>
  </si>
  <si>
    <t>Equipo de Oficina</t>
  </si>
  <si>
    <t xml:space="preserve">       Cambio filtro y MO purificador agua</t>
  </si>
  <si>
    <t>Equipo de Computación y Comunicación</t>
  </si>
  <si>
    <t>Software</t>
  </si>
  <si>
    <t>GASTOS DE VIAJE</t>
  </si>
  <si>
    <t>DEPRECIACIONES</t>
  </si>
  <si>
    <t>Alojamiento y manutención</t>
  </si>
  <si>
    <t xml:space="preserve">     Hospedaje  Reunión administrativos</t>
  </si>
  <si>
    <t>Pasajes aéreos</t>
  </si>
  <si>
    <t xml:space="preserve">     Tiquete  Reunión administrativos</t>
  </si>
  <si>
    <t>PASAJES TERRESTRES</t>
  </si>
  <si>
    <t>Viáticos</t>
  </si>
  <si>
    <t>Construcciones y Edificacione</t>
  </si>
  <si>
    <t>Equipo de Comunicación y Computación</t>
  </si>
  <si>
    <t>AMORTIZACIONES</t>
  </si>
  <si>
    <t>Intangibles</t>
  </si>
  <si>
    <t>Cargos diferidos</t>
  </si>
  <si>
    <t xml:space="preserve">        Antivirus</t>
  </si>
  <si>
    <t>DIVERSOS</t>
  </si>
  <si>
    <t>Libros, Suscripciones, periódicos, Revistas</t>
  </si>
  <si>
    <t>Elementos de Aseo y Cafetería</t>
  </si>
  <si>
    <t xml:space="preserve">         Elementos de aseo</t>
  </si>
  <si>
    <t xml:space="preserve">         Elementos de cafetería</t>
  </si>
  <si>
    <t>Utiles, Papelería y Fotocopias</t>
  </si>
  <si>
    <t xml:space="preserve">          Utiles y papelería</t>
  </si>
  <si>
    <t xml:space="preserve">          Fotocopias</t>
  </si>
  <si>
    <t>Combustibles y Lubricantes</t>
  </si>
  <si>
    <t>Taxis y Buses</t>
  </si>
  <si>
    <t>Casinos y Restaurante</t>
  </si>
  <si>
    <t>Parqueaderos</t>
  </si>
  <si>
    <t xml:space="preserve">       Pago Aprendiz Sena</t>
  </si>
  <si>
    <t xml:space="preserve">       Aportes salud aprendiz Sena</t>
  </si>
  <si>
    <t xml:space="preserve">       Aportes riesgos aprendiz Sena</t>
  </si>
  <si>
    <t xml:space="preserve">       Otros</t>
  </si>
  <si>
    <t>EGRESOS NO OPERACIONALES</t>
  </si>
  <si>
    <t>FINANCIEROS</t>
  </si>
  <si>
    <t>Gravamen 4 x 1000</t>
  </si>
  <si>
    <t>Chequeras</t>
  </si>
  <si>
    <t>Comisiones</t>
  </si>
  <si>
    <t xml:space="preserve">     </t>
  </si>
  <si>
    <t>......SUELDOS</t>
  </si>
  <si>
    <t>......HORAS EXTRAS Y RECARGOS</t>
  </si>
  <si>
    <t>......AUXILIO DE TRANSPORTE</t>
  </si>
  <si>
    <t>......CESANTIAS</t>
  </si>
  <si>
    <t>......INTERESES SOBRE CESANTIAS</t>
  </si>
  <si>
    <t>......PRIMA DE SERVICIOS</t>
  </si>
  <si>
    <t>......VACACIONES</t>
  </si>
  <si>
    <t>......AUXILIOS</t>
  </si>
  <si>
    <t>......DOTACION Y SUMINISTRO TRABAJAD</t>
  </si>
  <si>
    <t>......INDEMNIZACIONES LABORALES</t>
  </si>
  <si>
    <t>......CAPACITACION AL PERSONAL</t>
  </si>
  <si>
    <t>......APORTES A.R.P</t>
  </si>
  <si>
    <t>......APORTES SEGURIDAD SOCIAL E.P.S</t>
  </si>
  <si>
    <t>......APORTES FONDO DE PEN/CESANT.</t>
  </si>
  <si>
    <t>......APORTES CAJA DE COMPENSACION</t>
  </si>
  <si>
    <t>......APORTES I.C.B.F.</t>
  </si>
  <si>
    <t>......APORTES AL SENA</t>
  </si>
  <si>
    <t>......GASTOS MEDICOS Y DROGAS</t>
  </si>
  <si>
    <t>......SALUD OCUPACIONAL</t>
  </si>
  <si>
    <t>GASTOS</t>
  </si>
  <si>
    <t>OPERACIONALES ADMINISTRACION</t>
  </si>
  <si>
    <t>CONTRIBUCIONES Y AFILIACIONES</t>
  </si>
  <si>
    <t>Contribuciones</t>
  </si>
  <si>
    <t>Afiliaciones y sostenimiento</t>
  </si>
  <si>
    <t xml:space="preserve">       Contribución SIC</t>
  </si>
  <si>
    <t xml:space="preserve">       Confecámaras</t>
  </si>
  <si>
    <t xml:space="preserve">               Participac. Asamblea Confecámaras</t>
  </si>
  <si>
    <t xml:space="preserve">         Confecámaras (cuota sostenimiento)</t>
  </si>
  <si>
    <t xml:space="preserve">        Licenciamiento Office</t>
  </si>
  <si>
    <t>Intereses Obligaciones financieras</t>
  </si>
  <si>
    <t xml:space="preserve">        Contribución Contraloría (Control fiscal)</t>
  </si>
  <si>
    <t xml:space="preserve">       Mantenim. Plancha edificio</t>
  </si>
  <si>
    <t xml:space="preserve">       Pintura edificio </t>
  </si>
  <si>
    <t>GASTOS DE PERSONAL</t>
  </si>
  <si>
    <t>......PRIMA DE VACACIONES</t>
  </si>
  <si>
    <t xml:space="preserve">       Asocámaras (Cobro cuatrimestre)</t>
  </si>
  <si>
    <t xml:space="preserve">         Club orión</t>
  </si>
  <si>
    <t xml:space="preserve">         Club Los Gorrones</t>
  </si>
  <si>
    <t xml:space="preserve">      Recarga celular Aux.logística</t>
  </si>
  <si>
    <t xml:space="preserve">      Corresp. Credenciales afiliados</t>
  </si>
  <si>
    <t xml:space="preserve">       Reparación baños auditorios</t>
  </si>
  <si>
    <t xml:space="preserve">       mantenim. Equipo de audio</t>
  </si>
  <si>
    <t xml:space="preserve">        Suscripción Revista Semana</t>
  </si>
  <si>
    <t>INGRESOS</t>
  </si>
  <si>
    <t>OPERACIONALES</t>
  </si>
  <si>
    <t>AFILIACIONES</t>
  </si>
  <si>
    <t>CAPACITACION</t>
  </si>
  <si>
    <t>CONCILIACION Y ARBITRAJE</t>
  </si>
  <si>
    <t xml:space="preserve">       ADMON.CONCILIACION-PRIVADO</t>
  </si>
  <si>
    <t xml:space="preserve">        AUTENTICACIONES</t>
  </si>
  <si>
    <t>SERVICIOS ESPECIALES Y VARIOS</t>
  </si>
  <si>
    <t xml:space="preserve">       VTA.INFORMA.COMERCIAL-PRIVADO</t>
  </si>
  <si>
    <t xml:space="preserve">       DEPOSITO ESTAD.FINANCI.-PRIVAD</t>
  </si>
  <si>
    <t xml:space="preserve">       COPIAS Y FOTOCOPIAS-PRIVADO</t>
  </si>
  <si>
    <t xml:space="preserve">       PORTES-PRIVADO</t>
  </si>
  <si>
    <t>INGRESOS NO OPERACIONALES</t>
  </si>
  <si>
    <t xml:space="preserve">         INTERESES</t>
  </si>
  <si>
    <t xml:space="preserve">          LOCALES-PRIVADO</t>
  </si>
  <si>
    <t xml:space="preserve">          SALONES-PRIVADO</t>
  </si>
  <si>
    <t xml:space="preserve">          ESPACIO PUBLICITARIO-PRIVADO</t>
  </si>
  <si>
    <t xml:space="preserve">                         Espacio aviso Comfenalco</t>
  </si>
  <si>
    <t xml:space="preserve">          ALQUILER EQUIPOS</t>
  </si>
  <si>
    <t xml:space="preserve">         SERVICIOS DE CAFETERIA</t>
  </si>
  <si>
    <t xml:space="preserve">        APROVECHAMIENTOS</t>
  </si>
  <si>
    <t xml:space="preserve">        OTROS</t>
  </si>
  <si>
    <t>EXCEDENTES</t>
  </si>
  <si>
    <t xml:space="preserve"> enero </t>
  </si>
  <si>
    <t>febrero</t>
  </si>
  <si>
    <t xml:space="preserve"> marzo </t>
  </si>
  <si>
    <t>abril</t>
  </si>
  <si>
    <t xml:space="preserve"> mayo </t>
  </si>
  <si>
    <t>junio</t>
  </si>
  <si>
    <t xml:space="preserve"> julio </t>
  </si>
  <si>
    <t>agosto</t>
  </si>
  <si>
    <t xml:space="preserve"> septiembre </t>
  </si>
  <si>
    <t>octubre</t>
  </si>
  <si>
    <t xml:space="preserve"> noviembre </t>
  </si>
  <si>
    <t>diciembre</t>
  </si>
  <si>
    <t>EXCEDENTE/DEFICIT</t>
  </si>
  <si>
    <t>.INGRESOS</t>
  </si>
  <si>
    <t>..OPERACIONALES</t>
  </si>
  <si>
    <t>..........MATRICULAS</t>
  </si>
  <si>
    <t>............MATRICU.PERSONA NATURA.JURIDIC</t>
  </si>
  <si>
    <t>............MATRICULA ESTABLECIMIENTO</t>
  </si>
  <si>
    <t>..........RENOVACIONES</t>
  </si>
  <si>
    <t>............RENOVA.PERSONA NATURAL.JURIDIC</t>
  </si>
  <si>
    <t>............RENOVACION ESTABLECIMIENTOS</t>
  </si>
  <si>
    <t>..........INSCRIPCIONES</t>
  </si>
  <si>
    <t>............INSCR.ADMINIST.BIENES COMERC</t>
  </si>
  <si>
    <t>............INSCRI.ESTABLECI.DE COMERCIO</t>
  </si>
  <si>
    <t>............INSCRI.LIBROS DE COMERCIO</t>
  </si>
  <si>
    <t>............INSCRI.SOCIED.COMERC.E INST.FI</t>
  </si>
  <si>
    <t>............INSCRI.PRENDA</t>
  </si>
  <si>
    <t>............INSCRI.EMPRE.ASOCTV.DE TRABAJO</t>
  </si>
  <si>
    <t>............INSCRI.MATRICU.Y MUTACIONES</t>
  </si>
  <si>
    <t>............DERECHOS DE INSCRIP.ACTOS,DCMT</t>
  </si>
  <si>
    <t>............AUTORIZA.MENORES EDAD Y RENOV.</t>
  </si>
  <si>
    <t>............INSCRI.CONCORDA,LIQUI.OBLIGATO</t>
  </si>
  <si>
    <t>..........FORMULARIOS INSCRIPCION</t>
  </si>
  <si>
    <t>............FORMULARIOS DE INSCRIPCION</t>
  </si>
  <si>
    <t>..........CERTIFICADOS</t>
  </si>
  <si>
    <t>............CERTIFI.MATRICULA MERCANTIL</t>
  </si>
  <si>
    <t>............CERTIFI.EXISTEN.REPRESENTACION</t>
  </si>
  <si>
    <t>............CERTIFI.LIBROS DE COMERCIO</t>
  </si>
  <si>
    <t>............CERTIFI.ESPECIALES</t>
  </si>
  <si>
    <t>..........EXPEDICION DE COPIAS</t>
  </si>
  <si>
    <t>............EXPEDICION DE COPIAS PUBLICO</t>
  </si>
  <si>
    <t>........DEL REGISTRO DE PROPONENTES</t>
  </si>
  <si>
    <t>..........DERECHOS INSCRIP.PROPONENTE</t>
  </si>
  <si>
    <t>..........DERECHO RENOVACION PROPONENTE</t>
  </si>
  <si>
    <t>..........ACTUALIZACION DE PROPONENTES</t>
  </si>
  <si>
    <t>..........CERTIFICADO PROPONENTE</t>
  </si>
  <si>
    <t>........DEL REGISTRO DE LAS ESAL</t>
  </si>
  <si>
    <t>..........DERECHO INSCRIPCION ESAL</t>
  </si>
  <si>
    <t>..........CERTIFICADOS ESAL</t>
  </si>
  <si>
    <t>..........LIBROS E.S.A.L</t>
  </si>
  <si>
    <t>..INGRESOS NO OPERACIONALES</t>
  </si>
  <si>
    <t>.......INTERESES-PUBLICO</t>
  </si>
  <si>
    <t>....INGRESOS DE EJERCICIOS ANTERIO</t>
  </si>
  <si>
    <t>....DIVERSOS</t>
  </si>
  <si>
    <t xml:space="preserve">               Aporte servicios tecnológicos</t>
  </si>
  <si>
    <t xml:space="preserve">               Gastos de Operación RUE</t>
  </si>
  <si>
    <t xml:space="preserve">               Encuentro Nacional de Cámaras</t>
  </si>
  <si>
    <t xml:space="preserve">         Afiliación Icontec</t>
  </si>
  <si>
    <t>Terremoto</t>
  </si>
  <si>
    <t>Actos mal intencionados de terceros</t>
  </si>
  <si>
    <t xml:space="preserve">      Envío requerimientos No Renovados</t>
  </si>
  <si>
    <t>Publicidad</t>
  </si>
  <si>
    <t xml:space="preserve">       Pintura interior del edificio</t>
  </si>
  <si>
    <t xml:space="preserve">       Reparación sillas  y otros</t>
  </si>
  <si>
    <t xml:space="preserve"> </t>
  </si>
  <si>
    <t xml:space="preserve">        Mantenimiento central telefónica</t>
  </si>
  <si>
    <t xml:space="preserve">        Manten.Scanner</t>
  </si>
  <si>
    <t xml:space="preserve">     Tiquete encuentro Nal.de Cámaras</t>
  </si>
  <si>
    <t xml:space="preserve">          Auxilio moto mensajero</t>
  </si>
  <si>
    <t>Pasajes Terrestres</t>
  </si>
  <si>
    <t xml:space="preserve">     Publicidad</t>
  </si>
  <si>
    <t xml:space="preserve">     Telemercadeo</t>
  </si>
  <si>
    <t>OTROS ALQUILERES</t>
  </si>
  <si>
    <t>TERREMOTO</t>
  </si>
  <si>
    <t>Auditoría de seguimiento y ampliación alcance SGC</t>
  </si>
  <si>
    <t>.......IVA DESCONTABLE - PUBLICO</t>
  </si>
  <si>
    <t>.........I.V.A. DESCONTABLE 10%</t>
  </si>
  <si>
    <t>.........I.V.A. DESCONTABLE 16%</t>
  </si>
  <si>
    <t xml:space="preserve">       Mantenimiento tanques de reserva</t>
  </si>
  <si>
    <t>Maquinaria y Equipo</t>
  </si>
  <si>
    <t xml:space="preserve">        Mantenim.Planta eléctrica</t>
  </si>
  <si>
    <t>............CAPTL. MATRIM Y LIQID SOCD</t>
  </si>
  <si>
    <t xml:space="preserve">          Capacitaciones con costo</t>
  </si>
  <si>
    <t xml:space="preserve">     Serv.lavada manteles Cartago</t>
  </si>
  <si>
    <t xml:space="preserve">     Serv.lavada manteles La Unión</t>
  </si>
  <si>
    <t xml:space="preserve">                 Tubos lámparas ($5,500/und.)</t>
  </si>
  <si>
    <t xml:space="preserve">      Publicidad capacitaciones</t>
  </si>
  <si>
    <t xml:space="preserve">       Aires (6 unds. A $70,000/und.) </t>
  </si>
  <si>
    <t>Alojamiento Presidenta Ejecutiva diligencias varias</t>
  </si>
  <si>
    <t xml:space="preserve">          Pasajes  varios diligencia Presidenta Ejecutiva</t>
  </si>
  <si>
    <t xml:space="preserve">          Rest.por alquiler auditorios</t>
  </si>
  <si>
    <t>Participación Feria Exponegocios</t>
  </si>
  <si>
    <t>Otros honorarios</t>
  </si>
  <si>
    <t xml:space="preserve">Impuesto descontable </t>
  </si>
  <si>
    <t>Maquinaria y equipo</t>
  </si>
  <si>
    <t>Maquinaria y equpo</t>
  </si>
  <si>
    <t>Comisiones y chequeras</t>
  </si>
  <si>
    <t>CAPACTACIONES Y OTROS</t>
  </si>
  <si>
    <t xml:space="preserve">       Asocámaras (Cobro cuatrimestre) y otros</t>
  </si>
  <si>
    <t>Pasajes terrestres</t>
  </si>
  <si>
    <t>Buses y taxis</t>
  </si>
  <si>
    <t>VARIACION EN $</t>
  </si>
  <si>
    <t>.........IMPUESTO AL CONSUMO</t>
  </si>
  <si>
    <t>Alquiler espacio condensadoras La Unión</t>
  </si>
  <si>
    <t>Alquiler canal único contingencia (UNE)</t>
  </si>
  <si>
    <t xml:space="preserve">        Suscripción Actualícese.com</t>
  </si>
  <si>
    <t>............DSCT ART. 7 LEY 1429-50%-RENOV</t>
  </si>
  <si>
    <t>..........RENOVACION INSCRIPCION ESAL</t>
  </si>
  <si>
    <t>.......DIVIDENDOS Y PARTICIPACIONES</t>
  </si>
  <si>
    <t>Trabajos litograficos</t>
  </si>
  <si>
    <t xml:space="preserve">      Encuentas de satisfacción</t>
  </si>
  <si>
    <t xml:space="preserve">     Hospedaje auditor de Icontec</t>
  </si>
  <si>
    <t xml:space="preserve">       Viáticos Reconocimiento empresarios</t>
  </si>
  <si>
    <t xml:space="preserve">         suscripción Auditool</t>
  </si>
  <si>
    <t xml:space="preserve">           Reconocimiento empresarios</t>
  </si>
  <si>
    <t>OTROS PUBLICOS</t>
  </si>
  <si>
    <t xml:space="preserve">      Correo reconocimiento empresarios</t>
  </si>
  <si>
    <t xml:space="preserve">                         Espacio  Stand Feria Universitaria</t>
  </si>
  <si>
    <t xml:space="preserve">      Publicidad Feria Universitaria</t>
  </si>
  <si>
    <t xml:space="preserve">Trabajos litograficos </t>
  </si>
  <si>
    <t>Alojamiento personal invitado Feria</t>
  </si>
  <si>
    <t xml:space="preserve">          Refrigerios feria universitaria</t>
  </si>
  <si>
    <t xml:space="preserve">      Correo entrega de revista</t>
  </si>
  <si>
    <t>......COMISIONES</t>
  </si>
  <si>
    <t xml:space="preserve">         Inversiones Club Campestre</t>
  </si>
  <si>
    <t xml:space="preserve">     Serv.mesero eventos varios</t>
  </si>
  <si>
    <t>Gastos de representación Presidencia</t>
  </si>
  <si>
    <t xml:space="preserve">      Envío corresp. Capacitac.con costo</t>
  </si>
  <si>
    <t>.......DIVIDENDOS</t>
  </si>
  <si>
    <t>Trabajos litográficos</t>
  </si>
  <si>
    <t xml:space="preserve">         Club Campestre</t>
  </si>
  <si>
    <t>DIVERSOS-VINCULACIONES</t>
  </si>
  <si>
    <t>OTROS</t>
  </si>
  <si>
    <t>INGRESOS PUBLICOS</t>
  </si>
  <si>
    <t>EGRESOS PUBLICOS</t>
  </si>
  <si>
    <t>EXCED/DEF PUBLICO</t>
  </si>
  <si>
    <t>INGRESOS PRIVADOS</t>
  </si>
  <si>
    <t>EXCED/DEF PRIVADO</t>
  </si>
  <si>
    <t>VAR $</t>
  </si>
  <si>
    <t>VAR %</t>
  </si>
  <si>
    <t>EXCE/DEFI TOTAL</t>
  </si>
  <si>
    <t>EGRESOS</t>
  </si>
  <si>
    <t>UTILIDAD OPERATIVA</t>
  </si>
  <si>
    <t>Interes de la deuda</t>
  </si>
  <si>
    <t xml:space="preserve">Depreciaciones </t>
  </si>
  <si>
    <t>Amortizaciones</t>
  </si>
  <si>
    <t>PUBLICOS</t>
  </si>
  <si>
    <t>PRIVADOS</t>
  </si>
  <si>
    <t>FLUJO DE CAJA BRUTO</t>
  </si>
  <si>
    <t>VARIACION EN %</t>
  </si>
  <si>
    <t>Apoyos</t>
  </si>
  <si>
    <t>..........REGISTRO DE PROPONENTES</t>
  </si>
  <si>
    <t>..........REGISTRO DE LAS ESAL</t>
  </si>
  <si>
    <t>..........INTERESES</t>
  </si>
  <si>
    <t>..........DIVIDENDOS</t>
  </si>
  <si>
    <t>UTILIDAD/DEFICIT NETO</t>
  </si>
  <si>
    <t>PUBLICO</t>
  </si>
  <si>
    <t>PRIVADO</t>
  </si>
  <si>
    <t>Distribución de ingresos</t>
  </si>
  <si>
    <t>Ingresos públicos</t>
  </si>
  <si>
    <t>Ingresos privados</t>
  </si>
  <si>
    <t>HONORARIOS PUBLICOS</t>
  </si>
  <si>
    <t>ARRENDAMIENTOS PUBLICOS</t>
  </si>
  <si>
    <t>HONORARIOS PRIVADOS</t>
  </si>
  <si>
    <t>SERVICIOS PRIVADOS</t>
  </si>
  <si>
    <t>DIVERSOS PRIVADO</t>
  </si>
  <si>
    <t>SEGUROS PUBLICOS</t>
  </si>
  <si>
    <t>Responsabilidad Civil Extracontractual</t>
  </si>
  <si>
    <t>Vr Asegurado</t>
  </si>
  <si>
    <t>Cartago</t>
  </si>
  <si>
    <t>Roldanillo</t>
  </si>
  <si>
    <t>La Unión</t>
  </si>
  <si>
    <t>Equipo electrónico portátil</t>
  </si>
  <si>
    <t>Rubro</t>
  </si>
  <si>
    <t>Nombre</t>
  </si>
  <si>
    <t>Ppto enero</t>
  </si>
  <si>
    <t>Ppto febrero</t>
  </si>
  <si>
    <t>Ppto marzo</t>
  </si>
  <si>
    <t>Ppto abril</t>
  </si>
  <si>
    <t>Ppto mayo</t>
  </si>
  <si>
    <t>Ppto junio</t>
  </si>
  <si>
    <t>Ppto julio</t>
  </si>
  <si>
    <t>Ppto agosto</t>
  </si>
  <si>
    <t>Ppto septiembre</t>
  </si>
  <si>
    <t>Ppto octubre</t>
  </si>
  <si>
    <t>Ppto noviembre</t>
  </si>
  <si>
    <t>Ppto diciembre</t>
  </si>
  <si>
    <t>Ppto total</t>
  </si>
  <si>
    <t>INVERSIONES EN ACTIVOS - PUBLICAS</t>
  </si>
  <si>
    <t>MUEBLES Y ENSERES</t>
  </si>
  <si>
    <t>EQUIPO DE COMPUTO Y COMUNICACIONES</t>
  </si>
  <si>
    <t>computadores de escritorio *</t>
  </si>
  <si>
    <t>Rack para servidores</t>
  </si>
  <si>
    <t>EQUIPO DE OFICINA</t>
  </si>
  <si>
    <t>FLOTA Y EQUIPO DE TRANSPORTE</t>
  </si>
  <si>
    <t>INVERSIONES EN ACTIVOS - PRIVADAS</t>
  </si>
  <si>
    <t>PRESUPUESTO</t>
  </si>
  <si>
    <t>........DEVOLUCIONES LEY 1429</t>
  </si>
  <si>
    <t>..........DEVOLUCIONES LEY 1429</t>
  </si>
  <si>
    <t xml:space="preserve">       VENTA DE LIBROS Y HOJAS</t>
  </si>
  <si>
    <t xml:space="preserve">       VENTA DE PUBLICIDAD REVISTA 1</t>
  </si>
  <si>
    <t xml:space="preserve">       VENTA DE PUBLICIDAD REVISTA 2</t>
  </si>
  <si>
    <t xml:space="preserve">                  Otros</t>
  </si>
  <si>
    <t>INGRESOS EJERCICIOS ANTERIORES</t>
  </si>
  <si>
    <t xml:space="preserve">                  Vinculaciones Publicidad Stand</t>
  </si>
  <si>
    <t>Procesos de selección</t>
  </si>
  <si>
    <t>Costumbre mercantil</t>
  </si>
  <si>
    <t>Alquiler plataforma Internet Consultnetwork</t>
  </si>
  <si>
    <t xml:space="preserve">               Consultoría Certificámaras</t>
  </si>
  <si>
    <t xml:space="preserve">       Contribución Contraloría (Control fiscal)</t>
  </si>
  <si>
    <t xml:space="preserve">        Confecámaras (cuota sostenimiento)</t>
  </si>
  <si>
    <t xml:space="preserve">        Afiliación Icontec</t>
  </si>
  <si>
    <t>Poliza del Vehiculo de Cámara</t>
  </si>
  <si>
    <t xml:space="preserve">      Serv.celular Claro</t>
  </si>
  <si>
    <t xml:space="preserve">      Serv.celular movistar</t>
  </si>
  <si>
    <t xml:space="preserve">      Serv. Telef fijo Movistar Ctgo</t>
  </si>
  <si>
    <t xml:space="preserve">        Kit mantenimiento impresora</t>
  </si>
  <si>
    <t xml:space="preserve">        Mantenim. Impresoras lasser</t>
  </si>
  <si>
    <t xml:space="preserve">        Mantenim. UPS</t>
  </si>
  <si>
    <t xml:space="preserve">        Kit scanner</t>
  </si>
  <si>
    <t xml:space="preserve">           Consumos varios</t>
  </si>
  <si>
    <t xml:space="preserve">           Ruedas de prensa</t>
  </si>
  <si>
    <t xml:space="preserve">           Junta Directiva</t>
  </si>
  <si>
    <t xml:space="preserve">           Auditoría de calidad</t>
  </si>
  <si>
    <t xml:space="preserve">       Placas reconocimiento empresarios</t>
  </si>
  <si>
    <t xml:space="preserve">       Amplificación eventos de reconocimiento</t>
  </si>
  <si>
    <t xml:space="preserve">       Meseros y flores eventos de reconocimiento</t>
  </si>
  <si>
    <t>Vehiculos</t>
  </si>
  <si>
    <t xml:space="preserve">               Servicio verificacion de identidad (Sipref 200 consultas al mes)</t>
  </si>
  <si>
    <t xml:space="preserve">CONTRIBUCIONES </t>
  </si>
  <si>
    <t xml:space="preserve">     Direccion Administrativa y Financiera</t>
  </si>
  <si>
    <t xml:space="preserve">     Tiquetes Asamblea Confecámaras</t>
  </si>
  <si>
    <t xml:space="preserve">     Tiquetes Coord. Comunicaciones</t>
  </si>
  <si>
    <t xml:space="preserve">     Tiquete Coordinador de calidad</t>
  </si>
  <si>
    <t xml:space="preserve">     Serv Vigilancia Feria Universitaria</t>
  </si>
  <si>
    <t xml:space="preserve">     Serv Vigilancia auditorios</t>
  </si>
  <si>
    <t xml:space="preserve">      Entrega de requerimientos deposito ef</t>
  </si>
  <si>
    <t xml:space="preserve">      Impresión revista institucional</t>
  </si>
  <si>
    <t xml:space="preserve">      Plegables para Capacitaciones</t>
  </si>
  <si>
    <t xml:space="preserve">       Imprevistos</t>
  </si>
  <si>
    <t xml:space="preserve">      Carnet de afiliados</t>
  </si>
  <si>
    <t xml:space="preserve">          Entrega credenciales afiliados</t>
  </si>
  <si>
    <t>Flores varias-decoración oficinas</t>
  </si>
  <si>
    <t xml:space="preserve">           Pautas Candela Stereo Renovación</t>
  </si>
  <si>
    <t xml:space="preserve">      Fotos para la revista</t>
  </si>
  <si>
    <t xml:space="preserve">          Desayunos Empresariales-Afiliados</t>
  </si>
  <si>
    <t>Vehiculo</t>
  </si>
  <si>
    <t>Libros, suscripciones</t>
  </si>
  <si>
    <t>......... OTROS</t>
  </si>
  <si>
    <t xml:space="preserve">       COMPITE 360</t>
  </si>
  <si>
    <t xml:space="preserve">       Pintura externa edificio principal</t>
  </si>
  <si>
    <t xml:space="preserve">     Transporte auditor Icontec-Auditoría seguimiento y ampliación</t>
  </si>
  <si>
    <t>.......DIVERSOS</t>
  </si>
  <si>
    <t>Egresos Públicos</t>
  </si>
  <si>
    <t>Egresos Privados</t>
  </si>
  <si>
    <t>RESUMEN EJECUCION PRESUPUESTAL</t>
  </si>
  <si>
    <t>EJECUCIÓN</t>
  </si>
  <si>
    <t>EGRESOS PRIVADOS</t>
  </si>
  <si>
    <t>DIFERENCIA</t>
  </si>
  <si>
    <t>%</t>
  </si>
  <si>
    <t>IPC PROYECTADO AÑO 2016</t>
  </si>
  <si>
    <t>............CAPTL.MATRIM Y LIQUID.SOCD.CON</t>
  </si>
  <si>
    <t>....FINANCIEROS (INTERESES)</t>
  </si>
  <si>
    <t>Impuesto de Vehículos</t>
  </si>
  <si>
    <t>Alquiler espacio archivo (Iron Mountain)</t>
  </si>
  <si>
    <t xml:space="preserve">        Afiliación Comité Intergremial del Vale</t>
  </si>
  <si>
    <t xml:space="preserve">               Nuevos Desarrollos</t>
  </si>
  <si>
    <t xml:space="preserve">               Aplicativo JSP7</t>
  </si>
  <si>
    <t xml:space="preserve">               Aporte Regimen Legal Virtual</t>
  </si>
  <si>
    <t xml:space="preserve">      Canal de contingencia de La Unión</t>
  </si>
  <si>
    <t xml:space="preserve">      Canal Sirep (UNE)</t>
  </si>
  <si>
    <t xml:space="preserve">      Elaboración Informe de Gestión</t>
  </si>
  <si>
    <t xml:space="preserve">      Hojas y sobres menbreteadas</t>
  </si>
  <si>
    <t xml:space="preserve">      Pendones institucionales</t>
  </si>
  <si>
    <t xml:space="preserve">      Cuadernos institucionales (1000)</t>
  </si>
  <si>
    <t xml:space="preserve">      Lapiceros corporativos (3000)</t>
  </si>
  <si>
    <t xml:space="preserve">           Pauta Pantalla Digital La Unión</t>
  </si>
  <si>
    <t xml:space="preserve">          60 Fotos "Reconocimiento empresarial en municipios"</t>
  </si>
  <si>
    <t xml:space="preserve">          Videos homenaje Reconocimiento Empresarial </t>
  </si>
  <si>
    <t xml:space="preserve">       Mantenimiento de Aires (23 unds.) </t>
  </si>
  <si>
    <t xml:space="preserve">       Recarga extintores</t>
  </si>
  <si>
    <t xml:space="preserve">       Adecuación archivo Central</t>
  </si>
  <si>
    <t xml:space="preserve">        Insumos y herramientas equipos de computo</t>
  </si>
  <si>
    <t xml:space="preserve">        Baterias para UPS</t>
  </si>
  <si>
    <t>Servicio alquiler impresora y 3 equipos para caja en temporada de renovacion</t>
  </si>
  <si>
    <t xml:space="preserve">         Renovación Código de Comercio-condigo contencioso</t>
  </si>
  <si>
    <t xml:space="preserve">          Combustible Planta Electrica</t>
  </si>
  <si>
    <t xml:space="preserve">          Combustible Vehículo Camara</t>
  </si>
  <si>
    <t xml:space="preserve">           Almuerzos Jornada de renovación</t>
  </si>
  <si>
    <t>Parqueaderos Vehiculo Cámara</t>
  </si>
  <si>
    <t xml:space="preserve">     Hospedaje Asamblea Confecámaras</t>
  </si>
  <si>
    <t xml:space="preserve">     Hospedaje Comunicaciones</t>
  </si>
  <si>
    <t>Permisos legales Camara en su Barrio</t>
  </si>
  <si>
    <t xml:space="preserve">           Jornada en Municipios</t>
  </si>
  <si>
    <t xml:space="preserve">     Tiquetes dia del periodista</t>
  </si>
  <si>
    <t xml:space="preserve">       Viáticos Asamblea Confecámaras</t>
  </si>
  <si>
    <t xml:space="preserve">       Viáticos Presidencia</t>
  </si>
  <si>
    <t xml:space="preserve">       Viáticos área administriva</t>
  </si>
  <si>
    <t xml:space="preserve">       Viáticos Comité Dir Administrativos</t>
  </si>
  <si>
    <t xml:space="preserve">       Viáticos Registro público </t>
  </si>
  <si>
    <t xml:space="preserve">       Viáticos jornadas de registro</t>
  </si>
  <si>
    <t xml:space="preserve">       Fumigacion</t>
  </si>
  <si>
    <t>Alquiler salon eventos reconocimiento</t>
  </si>
  <si>
    <t xml:space="preserve">          Cuñas radiales evento reconocimiento</t>
  </si>
  <si>
    <t>Montaje evento reconocimiento Cartago</t>
  </si>
  <si>
    <t xml:space="preserve">       Contribución Proyectos</t>
  </si>
  <si>
    <t xml:space="preserve">       Mantenimiento vehiculo</t>
  </si>
  <si>
    <t xml:space="preserve">     Transporte meseros y equipos reconocimiento</t>
  </si>
  <si>
    <t xml:space="preserve">Caso penal </t>
  </si>
  <si>
    <t>Caso laboral</t>
  </si>
  <si>
    <t>EQUIPO DE COMPUT Y COMUNICACIONES</t>
  </si>
  <si>
    <t>Afiliados</t>
  </si>
  <si>
    <t>Informacion Comercial</t>
  </si>
  <si>
    <t>Deposito de Estados Financieros</t>
  </si>
  <si>
    <t>Copias y Fotocopias</t>
  </si>
  <si>
    <t>Venta de libros y hojas</t>
  </si>
  <si>
    <t>Intereses</t>
  </si>
  <si>
    <t>Alquiler de Auditorios</t>
  </si>
  <si>
    <t>Servicios de Cafeteria</t>
  </si>
  <si>
    <t>Vinculaciones Publicitarias</t>
  </si>
  <si>
    <t>OTROS ALQUILERES MUSICAR</t>
  </si>
  <si>
    <t xml:space="preserve">      Talonarios</t>
  </si>
  <si>
    <t xml:space="preserve">      Canjes Revista</t>
  </si>
  <si>
    <t xml:space="preserve">       Mantenimeitno filtro de agua</t>
  </si>
  <si>
    <t>.........GRAVAMEN DEL 4XMIL-PRIVADO</t>
  </si>
  <si>
    <t>......CHEQUERAS</t>
  </si>
  <si>
    <t>ingreso</t>
  </si>
  <si>
    <t>gasto</t>
  </si>
  <si>
    <t xml:space="preserve">      Compite</t>
  </si>
  <si>
    <t xml:space="preserve">          Reconocimiento empresarios</t>
  </si>
  <si>
    <t xml:space="preserve">      Carpetas institucionales (10000)</t>
  </si>
  <si>
    <t xml:space="preserve">         Comité Intergremial del Valle</t>
  </si>
  <si>
    <t xml:space="preserve">        Proyectos</t>
  </si>
  <si>
    <t>Impuesto Vehiculo</t>
  </si>
  <si>
    <t xml:space="preserve">Rack para servidores </t>
  </si>
  <si>
    <t>ADECUACIONES</t>
  </si>
  <si>
    <t xml:space="preserve">SERVICIOS </t>
  </si>
  <si>
    <t xml:space="preserve">DIVERSOS </t>
  </si>
  <si>
    <t>CONTIBUCIONES Y AFILIACIONES</t>
  </si>
  <si>
    <t xml:space="preserve">               Participación Asamblea Confecámaras</t>
  </si>
  <si>
    <t xml:space="preserve">               Servicio verificacion de identidad (Sipref)</t>
  </si>
  <si>
    <t>Compite 360</t>
  </si>
  <si>
    <t>GASTOS NO OPERACIONALES PRIVADO</t>
  </si>
  <si>
    <t xml:space="preserve">           Alianzas para la innovación</t>
  </si>
  <si>
    <t>Salarios</t>
  </si>
  <si>
    <t>Prestaciones Sociales</t>
  </si>
  <si>
    <t>Capacitaciones Internas al personal</t>
  </si>
  <si>
    <t>Dotación</t>
  </si>
  <si>
    <t>Salud Ocupacional</t>
  </si>
  <si>
    <t>GASTOS DE PERSONAL PUBLICOS</t>
  </si>
  <si>
    <t>py cierre 2016</t>
  </si>
  <si>
    <t>total 2017</t>
  </si>
  <si>
    <t>% 2017 vs 2016</t>
  </si>
  <si>
    <t>Consultoria SG-SST</t>
  </si>
  <si>
    <t>IVA DESCONTABLE DEL 16%</t>
  </si>
  <si>
    <t>IMPUESTO AL CONSUMO</t>
  </si>
  <si>
    <t xml:space="preserve">     Vigilancia adicional oficinas (renovacion)</t>
  </si>
  <si>
    <t xml:space="preserve">      Libretas institucionales (10.000)</t>
  </si>
  <si>
    <t xml:space="preserve">           Diseño Mensual de piezas</t>
  </si>
  <si>
    <t xml:space="preserve">          Campaña de renovación 2017</t>
  </si>
  <si>
    <t xml:space="preserve">        Repuestos Planta electrica</t>
  </si>
  <si>
    <t xml:space="preserve">     Hospedaje Competitividad</t>
  </si>
  <si>
    <t xml:space="preserve">     Hospedaje Gestión documental</t>
  </si>
  <si>
    <t xml:space="preserve">     Hospedaje Sistemas</t>
  </si>
  <si>
    <t xml:space="preserve">     Tiquetes Competitividad</t>
  </si>
  <si>
    <t xml:space="preserve">     Hospedaje Direccion juridica</t>
  </si>
  <si>
    <t xml:space="preserve">     Hospedajes  Presidenta </t>
  </si>
  <si>
    <t xml:space="preserve">     Tiquete Direccion admitiva</t>
  </si>
  <si>
    <t xml:space="preserve">     Tiquete   Sistemas</t>
  </si>
  <si>
    <t xml:space="preserve">     Tiquete Direccion Juridica</t>
  </si>
  <si>
    <t xml:space="preserve">     Tiquetes Presidencia</t>
  </si>
  <si>
    <t xml:space="preserve">     Transporte Administrativo</t>
  </si>
  <si>
    <t xml:space="preserve">       Viáticos Competitividad</t>
  </si>
  <si>
    <t xml:space="preserve">       Viaticos Control interno</t>
  </si>
  <si>
    <t>Retencion en la fuente</t>
  </si>
  <si>
    <t>Sistema intregrado de Gestión</t>
  </si>
  <si>
    <t>Cliente incognito</t>
  </si>
  <si>
    <t xml:space="preserve">           NVC</t>
  </si>
  <si>
    <t xml:space="preserve">          Video evento día del peridista</t>
  </si>
  <si>
    <t xml:space="preserve">      Cartulinas</t>
  </si>
  <si>
    <t>…………..DESCUENTO 100% LEY 1780</t>
  </si>
  <si>
    <t>......TEMPORALES</t>
  </si>
  <si>
    <t>......AUXILIOS APORTES DIRECTIVOS</t>
  </si>
  <si>
    <t>............DSCT ART 7 LEY 1780</t>
  </si>
  <si>
    <t xml:space="preserve">           Emprendimiento</t>
  </si>
  <si>
    <t>Alojamiento Compite 360</t>
  </si>
  <si>
    <t>......INTERESES</t>
  </si>
  <si>
    <t>......COMISION</t>
  </si>
  <si>
    <t xml:space="preserve">          GES</t>
  </si>
  <si>
    <t xml:space="preserve">          Conciliacion</t>
  </si>
  <si>
    <t>Honorarios nutricion</t>
  </si>
  <si>
    <t>......BONIFICACION</t>
  </si>
  <si>
    <t>AÑO 2017</t>
  </si>
  <si>
    <t>FLUJO DE CAJA 2017</t>
  </si>
  <si>
    <t>Incentivo 2017</t>
  </si>
  <si>
    <t>GASTOS DE PERSONAL PRIVADOS</t>
  </si>
  <si>
    <t>Auxilio Vacaciones</t>
  </si>
  <si>
    <t>Auxilios</t>
  </si>
  <si>
    <t>MANTENIMIENTOS PUBLICOS</t>
  </si>
  <si>
    <t xml:space="preserve">      Auditorios</t>
  </si>
  <si>
    <t xml:space="preserve">       Viaticos Promotor de Competitividad</t>
  </si>
  <si>
    <t>Comisiones Pomotor Competitividad</t>
  </si>
  <si>
    <t>Depreciaciones</t>
  </si>
  <si>
    <t xml:space="preserve">           Videos mensuales canal de you tube</t>
  </si>
  <si>
    <t>ADECUACIONES EDIFICIO</t>
  </si>
  <si>
    <t xml:space="preserve">CONCILIACION </t>
  </si>
  <si>
    <t>Gastos de gestión</t>
  </si>
  <si>
    <t>Regalo de afiliados y registros</t>
  </si>
  <si>
    <t>......INCENTIVOS</t>
  </si>
  <si>
    <t>INGRESOS TOTALES</t>
  </si>
  <si>
    <t>EGRESOS TOTALES</t>
  </si>
  <si>
    <t>EXCED/DEF TOTAL</t>
  </si>
  <si>
    <t>MATRICULAS</t>
  </si>
  <si>
    <t>RENOVACIONES</t>
  </si>
  <si>
    <t>INSCRIPCCIONES</t>
  </si>
  <si>
    <t>FORMULARIOS</t>
  </si>
  <si>
    <t>CERTIFICADOS</t>
  </si>
  <si>
    <t>PROPONENTES</t>
  </si>
  <si>
    <t>ESAL</t>
  </si>
  <si>
    <t>PALMIRA</t>
  </si>
  <si>
    <t>TULUA</t>
  </si>
  <si>
    <t>BUGA</t>
  </si>
  <si>
    <t>IPC</t>
  </si>
  <si>
    <t>PEREIRA</t>
  </si>
  <si>
    <t>CRECIMIENTO DE LOS INGRESOS PUBLICOS PARA EL AÑO 2017</t>
  </si>
  <si>
    <t>DOSQUEBRADAS</t>
  </si>
  <si>
    <t>CARTAGO</t>
  </si>
  <si>
    <t>SALARIO MINIMO</t>
  </si>
  <si>
    <t>Plan de Mercadeo</t>
  </si>
  <si>
    <t>DISTRIBUCION JSP7</t>
  </si>
  <si>
    <t>............MATRICU.PERSONA NATURA.JURIDIC CARTAGO</t>
  </si>
  <si>
    <t>............MATRICU.PERSONA NATURA.JURIDIC LA UNION</t>
  </si>
  <si>
    <t>............MATRICU.PERSONA NATURA.JURIDIC ROLDANILLO</t>
  </si>
  <si>
    <t>............MATRICULA ESTABLECIMIENTO CARTAGO</t>
  </si>
  <si>
    <t>............MATRICULA ESTABLECIMIENTO LA UNION</t>
  </si>
  <si>
    <t>............MATRICULA ESTABLECIMIENTO ROLDANILLO</t>
  </si>
  <si>
    <t>…………..DESCUENTO 100% LEY 1780 CARTAGO</t>
  </si>
  <si>
    <t>…………..DESCUENTO 100% LEY 1780 LA UNION</t>
  </si>
  <si>
    <t>…………..DESCUENTO 100% LEY 1780 ROLDANILLO</t>
  </si>
  <si>
    <t>............RENOVA.PERSONA NATURAL.JURIDIC CARTAGO</t>
  </si>
  <si>
    <t>............RENOVA.PERSONA NATURAL.JURIDIC LA UNION</t>
  </si>
  <si>
    <t>............RENOVA.PERSONA NATURAL.JURIDIC ROLDANILLO</t>
  </si>
  <si>
    <t>............RENOVACION ESTABLECIMIENTOS CARTAGO</t>
  </si>
  <si>
    <t>............RENOVACION ESTABLECIMIENTOS LA UNION</t>
  </si>
  <si>
    <t>............RENOVACION ESTABLECIMIENTOS ROLDANILLO</t>
  </si>
  <si>
    <t>............CAPTL.MATRIM Y LIQUID.SOCD.CON CARTAGO</t>
  </si>
  <si>
    <t>............CAPTL.MATRIM Y LIQUID.SOCD.CON LA UNION</t>
  </si>
  <si>
    <t>............CAPTL.MATRIM Y LIQUID.SOCD.CON ROLDANILLO</t>
  </si>
  <si>
    <t>............INSCR.ADMINIST.BIENES COMERC CARTAGO</t>
  </si>
  <si>
    <t>............INSCR.ADMINIST.BIENES COMERC LA UNION</t>
  </si>
  <si>
    <t>............INSCR.ADMINIST.BIENES COMERC ROLDANILLO</t>
  </si>
  <si>
    <t>............INSCRI.ESTABLECI.DE COMERCIO CARTAGO</t>
  </si>
  <si>
    <t>............INSCRI.ESTABLECI.DE COMERCIO LA UNION</t>
  </si>
  <si>
    <t>............INSCRI.ESTABLECI.DE COMERCIO ROLDANILLO</t>
  </si>
  <si>
    <t>............INSCRI.LIBROS DE COMERCIO CARTAGO</t>
  </si>
  <si>
    <t>............INSCRI.LIBROS DE COMERCIO LA UNION</t>
  </si>
  <si>
    <t>............INSCRI.LIBROS DE COMERCIO ROLDANILLO</t>
  </si>
  <si>
    <t>............INSCRI.MATRICU.Y MUTACIONES CARTAGO</t>
  </si>
  <si>
    <t>............INSCRI.MATRICU.Y MUTACIONES LA UNION</t>
  </si>
  <si>
    <t>............INSCRI.MATRICU.Y MUTACIONES ROLDANILLO</t>
  </si>
  <si>
    <t>............DERECHOS DE INSCRIP.ACTOS,DCMT CARTAGO</t>
  </si>
  <si>
    <t>............DERECHOS DE INSCRIP.ACTOS,DCMT LA UNION</t>
  </si>
  <si>
    <t>............DERECHOS DE INSCRIP.ACTOS,DCMT ROLDANILLO</t>
  </si>
  <si>
    <t>............INSCRI.CONCORDA,LIQUI.OBLIGATO ROLDANILLO</t>
  </si>
  <si>
    <t>............INSCRI.CONCORDA,LIQUI.OBLIGATO CARTAGO</t>
  </si>
  <si>
    <t>............INSCRI.CONCORDA,LIQUI.OBLIGATO LA UNION</t>
  </si>
  <si>
    <t>..........FORMULARIOS INSCRIPCION CARTAGO</t>
  </si>
  <si>
    <t>..........FORMULARIOS INSCRIPCION LAM UNION</t>
  </si>
  <si>
    <t>..........FORMULARIOS INSCRIPCION ROLDANILLO</t>
  </si>
  <si>
    <t>............CERTIFI.MATRICULA MERCANTIL CARTAGO</t>
  </si>
  <si>
    <t>............CERTIFI.MATRICULA MERCANTIL LA UNION</t>
  </si>
  <si>
    <t>............CERTIFI.MATRICULA MERCANTIL ROLDANILLO</t>
  </si>
  <si>
    <t>............CERTIFI.EXISTEN.REPRESENTACION CARTAGO</t>
  </si>
  <si>
    <t>............CERTIFI.EXISTEN.REPRESENTACION LA UNION</t>
  </si>
  <si>
    <t>............CERTIFI.EXISTEN.REPRESENTACION ROLDANILLO</t>
  </si>
  <si>
    <t>............CERTIFI.LIBROS DE COMERCIO CARTAGO</t>
  </si>
  <si>
    <t>............CERTIFI.LIBROS DE COMERCIO LA UNION</t>
  </si>
  <si>
    <t>............CERTIFI.LIBROS DE COMERCIO ROLDANILLO</t>
  </si>
  <si>
    <t>............CERTIFI.ESPECIALES CARTAGO</t>
  </si>
  <si>
    <t>............CERTIFI.ESPECIALES LA UNION</t>
  </si>
  <si>
    <t>............CERTIFI.ESPECIALES ROLDANILLO</t>
  </si>
  <si>
    <t>..........DERECHOS INSCRIP.PROPONENTE CARTAGO</t>
  </si>
  <si>
    <t>..........DERECHOS INSCRIP.PROPONENTELA UNION</t>
  </si>
  <si>
    <t>..........DERECHOS INSCRIP.PROPONENTE ROLDANILLO</t>
  </si>
  <si>
    <t>..........DERECHO RENOVACION PROPONENTE CARTAGO</t>
  </si>
  <si>
    <t>..........DERECHO RENOVACION PROPONENTE LA UNION</t>
  </si>
  <si>
    <t>..........DERECHO RENOVACION PROPONENTE ROLDANILLO</t>
  </si>
  <si>
    <t>..........ACTUALIZACION DE PROPONENTES CARTAGO</t>
  </si>
  <si>
    <t>..........CERTIFICADO PROPONENTE CARTAGO</t>
  </si>
  <si>
    <t>..........CERTIFICADO PROPONENTE LA UNION</t>
  </si>
  <si>
    <t>..........CERTIFICADO PROPONENTE ROLDANILLO</t>
  </si>
  <si>
    <t>..........DERECHO INSCRIPCION ESAL CARTAGO</t>
  </si>
  <si>
    <t>..........DERECHO INSCRIPCION ESALM LA UNION</t>
  </si>
  <si>
    <t>..........CERTIFICADOS ESAL CARTAGO</t>
  </si>
  <si>
    <t>..........CERTIFICADOS ESAL LA UNION</t>
  </si>
  <si>
    <t>..........CERTIFICADOS ESAL LA ROLDANILLO</t>
  </si>
  <si>
    <t>..........LIBROS E.S.A.L CARTAGO</t>
  </si>
  <si>
    <t>..........LIBROS E.S.A.L LA UNION</t>
  </si>
  <si>
    <t>..........LIBROS E.S.A.L ROLDANILLO</t>
  </si>
  <si>
    <t>..........RENOVACION INSCRIPCION ESAL CARTAGO</t>
  </si>
  <si>
    <t>..........RENOVACION INSCRIPCION ESAL LA UNION</t>
  </si>
  <si>
    <t>..........RENOVACION INSCRIPCION ESAL ROLDANILLO</t>
  </si>
  <si>
    <t>....FINANCIEROS (INTERESES) CARTAGO</t>
  </si>
  <si>
    <t>....FINANCIEROS (INTERESES) LA UNION</t>
  </si>
  <si>
    <t>....FINANCIEROS (INTERESES) ROLDANILLO</t>
  </si>
  <si>
    <t>registro jsp7</t>
  </si>
  <si>
    <t>Afiliados VIEJOS</t>
  </si>
  <si>
    <t>PRESUPUESTO DE  AÑO 2018</t>
  </si>
  <si>
    <t>IPC PROYECTADO AÑO 2018</t>
  </si>
  <si>
    <t>py cierre 2017</t>
  </si>
  <si>
    <t>............DSCT ART. 50 LEY 1780</t>
  </si>
  <si>
    <t>total 2018</t>
  </si>
  <si>
    <t>% 2018 vs 2017</t>
  </si>
  <si>
    <t>PRESUPUESTO DE INGRESOS PRIVADOS AÑO 2018</t>
  </si>
  <si>
    <t>IPC PROYECTADO  4,2%</t>
  </si>
  <si>
    <t xml:space="preserve">                        Locales 1-2-3-4-5</t>
  </si>
  <si>
    <t>......APORTES A.R.L</t>
  </si>
  <si>
    <t>Alianzas para la innovacion</t>
  </si>
  <si>
    <t>Examenes medicos periodicos</t>
  </si>
  <si>
    <t>Examenes psicosociales</t>
  </si>
  <si>
    <t xml:space="preserve">     Serv. Agua Of. Roldanillo-Acuavalle</t>
  </si>
  <si>
    <t xml:space="preserve">     sim planta</t>
  </si>
  <si>
    <t xml:space="preserve">      ip-pbx</t>
  </si>
  <si>
    <t xml:space="preserve">      Tablet Logistica</t>
  </si>
  <si>
    <t xml:space="preserve">      Tablet registros</t>
  </si>
  <si>
    <t xml:space="preserve">      Canal imágenes</t>
  </si>
  <si>
    <t xml:space="preserve">      Serv.internet Roldanillo</t>
  </si>
  <si>
    <t xml:space="preserve">       Avisos en acrilico registros</t>
  </si>
  <si>
    <t xml:space="preserve">       Mantenimeitnos varios</t>
  </si>
  <si>
    <t xml:space="preserve">       Mantenimiento subestación  eléctrica</t>
  </si>
  <si>
    <t xml:space="preserve">       Instalacion aire piso 3</t>
  </si>
  <si>
    <t xml:space="preserve">       Repuestos aires</t>
  </si>
  <si>
    <t xml:space="preserve">       Mantto de camaras de vigilancia</t>
  </si>
  <si>
    <t>Sistema de Mensajeria Audicom (Musicar)Cartago</t>
  </si>
  <si>
    <t>Sistema de Mensajeria Audicom (Musicar)La Unión</t>
  </si>
  <si>
    <t>Sistema de Mensajeria Audicom (Musicar)Roldanillo</t>
  </si>
  <si>
    <t>Sistema Mensajes en Pantallas (Musicar)Cartago</t>
  </si>
  <si>
    <t>Sistema Mensajes en Pantallas (Musicar)La Union</t>
  </si>
  <si>
    <t>Sistema Mensajes en Pantallas (Musicar)Roldanillo</t>
  </si>
  <si>
    <t>OTROS ARRENDAMIENTO</t>
  </si>
  <si>
    <t xml:space="preserve">      Volantes registros Alcaldias</t>
  </si>
  <si>
    <t xml:space="preserve">      Cuadros planeacion estrategica</t>
  </si>
  <si>
    <t xml:space="preserve">      Volantes GES</t>
  </si>
  <si>
    <t xml:space="preserve">      Tarjetas de presentación</t>
  </si>
  <si>
    <t xml:space="preserve">      Programadores</t>
  </si>
  <si>
    <t xml:space="preserve">      Brochure 2018</t>
  </si>
  <si>
    <t xml:space="preserve">          Correos masivos campañas (exus)</t>
  </si>
  <si>
    <t xml:space="preserve">           Mensajes masivos (alo global)</t>
  </si>
  <si>
    <t xml:space="preserve">           Realización videos renovacion</t>
  </si>
  <si>
    <t xml:space="preserve">          Video evacuacion</t>
  </si>
  <si>
    <t xml:space="preserve">           Servicio de perifoneo jornadas registrales </t>
  </si>
  <si>
    <t xml:space="preserve">           Video promocional del Norte del Valle  </t>
  </si>
  <si>
    <t xml:space="preserve">      Diagramacion informe gestion 2 semestre</t>
  </si>
  <si>
    <t xml:space="preserve">           Pauta CNC La union</t>
  </si>
  <si>
    <t xml:space="preserve">           Publicacion periodico informe de gestion</t>
  </si>
  <si>
    <t xml:space="preserve">          Gestión Fenix</t>
  </si>
  <si>
    <t xml:space="preserve">           Periodico el norte hoy</t>
  </si>
  <si>
    <t xml:space="preserve">           Pauta Pantalla Digital Roldanillo</t>
  </si>
  <si>
    <t xml:space="preserve">           Pauta redes sociales</t>
  </si>
  <si>
    <t xml:space="preserve">          Comerciales institucionales</t>
  </si>
  <si>
    <t xml:space="preserve">           Norte Noticias-Cesar Vallejo </t>
  </si>
  <si>
    <t xml:space="preserve">           Cartago Stereo-Edgar Arroyabe</t>
  </si>
  <si>
    <t xml:space="preserve">           Norte estereo- Alvaro Palomino</t>
  </si>
  <si>
    <t xml:space="preserve">           Pautas CNC Roldanillo -Giovanni Velandia</t>
  </si>
  <si>
    <t xml:space="preserve">           La Chiva noticias-Juan Carlos Gonzalez</t>
  </si>
  <si>
    <t xml:space="preserve">           CNC Noticias- Eridis Polo</t>
  </si>
  <si>
    <t xml:space="preserve">           Notidía-Ricardo Garcia</t>
  </si>
  <si>
    <t xml:space="preserve">           Cafetaleros del Norte- Radio Robledo</t>
  </si>
  <si>
    <t xml:space="preserve">          Fotos eventos</t>
  </si>
  <si>
    <t xml:space="preserve">               Software gestión documental</t>
  </si>
  <si>
    <t xml:space="preserve">        Soporte magiturno</t>
  </si>
  <si>
    <t xml:space="preserve">        Verificación de Huella</t>
  </si>
  <si>
    <t xml:space="preserve">        Firma Digital  certificados electronicos</t>
  </si>
  <si>
    <t xml:space="preserve">        firma digital representante legal</t>
  </si>
  <si>
    <t xml:space="preserve">        firma digital RUES</t>
  </si>
  <si>
    <t xml:space="preserve">        Renovacion Licencia UTM y Wireless</t>
  </si>
  <si>
    <t xml:space="preserve">        Adecuación rack servidores</t>
  </si>
  <si>
    <t xml:space="preserve">       Equipos vigilancia</t>
  </si>
  <si>
    <t xml:space="preserve">         Renovac. Suscrip. Régimen laboral-procedimiento civil</t>
  </si>
  <si>
    <t xml:space="preserve">          Toner</t>
  </si>
  <si>
    <t xml:space="preserve">           Jornadas Roldanillo</t>
  </si>
  <si>
    <t xml:space="preserve">           Camara en su barrio</t>
  </si>
  <si>
    <t xml:space="preserve">           Asamblea Confecamaras</t>
  </si>
  <si>
    <t xml:space="preserve">          Comité Directivo</t>
  </si>
  <si>
    <t xml:space="preserve">           Semana de la salud</t>
  </si>
  <si>
    <t xml:space="preserve">           Administrativo</t>
  </si>
  <si>
    <t xml:space="preserve">          Dia del periodista</t>
  </si>
  <si>
    <t xml:space="preserve">          Capacitaciones Internas</t>
  </si>
  <si>
    <t xml:space="preserve">          Comité Directores valle</t>
  </si>
  <si>
    <t xml:space="preserve">       Permiso camara en su barrio</t>
  </si>
  <si>
    <t xml:space="preserve">       Lavado de carro</t>
  </si>
  <si>
    <t xml:space="preserve">       Placas funcionarios</t>
  </si>
  <si>
    <t xml:space="preserve">       Pago Sayco</t>
  </si>
  <si>
    <t xml:space="preserve">       Pago acympro</t>
  </si>
  <si>
    <t xml:space="preserve">       Cabina fotografica</t>
  </si>
  <si>
    <t xml:space="preserve">       Defensa civil</t>
  </si>
  <si>
    <t xml:space="preserve">       Cluster de la moda</t>
  </si>
  <si>
    <t xml:space="preserve">       Viaticos encuentro nal de camaras</t>
  </si>
  <si>
    <t xml:space="preserve">       Cronicas empleado</t>
  </si>
  <si>
    <t>Consultoria cadena de valor</t>
  </si>
  <si>
    <t>Transportes fletes y acarreos</t>
  </si>
  <si>
    <t xml:space="preserve">       Transporte de carpa camara en su barrio</t>
  </si>
  <si>
    <t xml:space="preserve">      Volantes Camara en su barrio</t>
  </si>
  <si>
    <t>Capacitacion programa nuevos empresarios</t>
  </si>
  <si>
    <t xml:space="preserve">          Combustible Promotor</t>
  </si>
  <si>
    <t>Capacitaciones gratuitas</t>
  </si>
  <si>
    <t xml:space="preserve">          Capacitaciones gratuitas</t>
  </si>
  <si>
    <t>Emprendimiento</t>
  </si>
  <si>
    <t xml:space="preserve">      Emprendimiento</t>
  </si>
  <si>
    <t xml:space="preserve">     Tiquetes emprendimiento</t>
  </si>
  <si>
    <t xml:space="preserve">      Tarjetas evento reconocimiento</t>
  </si>
  <si>
    <t>Tertuliando en la Cámara</t>
  </si>
  <si>
    <t>Honorarios conciliación</t>
  </si>
  <si>
    <t>Capacitaciones alto nivel</t>
  </si>
  <si>
    <t>.....Comisiones capacitacion alto nivel</t>
  </si>
  <si>
    <t xml:space="preserve">          Cuñas</t>
  </si>
  <si>
    <t xml:space="preserve">           Video pequeñas grandes historias</t>
  </si>
  <si>
    <t xml:space="preserve">           Marcación telefónica masiva (Murillo)</t>
  </si>
  <si>
    <t xml:space="preserve">       Convenios Alianzas</t>
  </si>
  <si>
    <t xml:space="preserve">       Convenios encuesta pyme</t>
  </si>
  <si>
    <t xml:space="preserve">       Convenios ges tursimo</t>
  </si>
  <si>
    <t xml:space="preserve">     Hospedaje GES turismo</t>
  </si>
  <si>
    <t xml:space="preserve">     Tiquetes GES Turismo</t>
  </si>
  <si>
    <t xml:space="preserve">       Viáticos GES Turismo</t>
  </si>
  <si>
    <t xml:space="preserve">           Ges Turismo</t>
  </si>
  <si>
    <t xml:space="preserve">       Contrapartida proyectos</t>
  </si>
  <si>
    <t xml:space="preserve">      Volantes formalización</t>
  </si>
  <si>
    <t xml:space="preserve">       Viaticos formalizacion</t>
  </si>
  <si>
    <t xml:space="preserve">           Formalización</t>
  </si>
  <si>
    <t xml:space="preserve">     Envio requerimientos jornadas especiales</t>
  </si>
  <si>
    <t xml:space="preserve">           Perifoneo jornadas especiales</t>
  </si>
  <si>
    <t xml:space="preserve">       Viaticos jornadas especiales</t>
  </si>
  <si>
    <t xml:space="preserve">           Refrigerio-almuerzo jornadas especiales</t>
  </si>
  <si>
    <t xml:space="preserve">      Volantes deposito estados financieros</t>
  </si>
  <si>
    <t xml:space="preserve">      Pendon afiliados</t>
  </si>
  <si>
    <t xml:space="preserve">      Volantes afiliados</t>
  </si>
  <si>
    <t>......CUMPLIMIENTO DE METAS</t>
  </si>
  <si>
    <t xml:space="preserve">      HONORARIOS DE CONCILIADORES</t>
  </si>
  <si>
    <t xml:space="preserve">      Feria Universitaria</t>
  </si>
  <si>
    <t xml:space="preserve">       Instalacion red electrica aire</t>
  </si>
  <si>
    <t xml:space="preserve">       Tarjeta de aire acondicionado</t>
  </si>
  <si>
    <t xml:space="preserve">       Varios</t>
  </si>
  <si>
    <t xml:space="preserve">          Pasajes  conciliacion</t>
  </si>
  <si>
    <t xml:space="preserve">          Pasajes varios Presidenta Ejecutiva</t>
  </si>
  <si>
    <t xml:space="preserve">          Transporte estudiantes feria</t>
  </si>
  <si>
    <t xml:space="preserve">           Varios</t>
  </si>
  <si>
    <t xml:space="preserve">          Bienestar laboral</t>
  </si>
  <si>
    <t xml:space="preserve">          Rest. Auxiliar logistica</t>
  </si>
  <si>
    <t>Elementos ejercicio</t>
  </si>
  <si>
    <t>Regalo conciliadores</t>
  </si>
  <si>
    <t>Pago cuota club años anteriores</t>
  </si>
  <si>
    <t>Obsequios cumpleaños Junta Directiva</t>
  </si>
  <si>
    <t>Actividad fisica colaboradores</t>
  </si>
  <si>
    <t xml:space="preserve">      paquete comercial</t>
  </si>
  <si>
    <t xml:space="preserve">      Volantes informacion comercial</t>
  </si>
  <si>
    <t>Feria Universitaria buses</t>
  </si>
  <si>
    <t xml:space="preserve">      Afiliados</t>
  </si>
  <si>
    <t xml:space="preserve">      Publicidad conciliacion</t>
  </si>
  <si>
    <t xml:space="preserve">      Volantes conciliacion</t>
  </si>
  <si>
    <t>Alojamiento conciliacion</t>
  </si>
  <si>
    <t xml:space="preserve">        Mantenimiento pagina web</t>
  </si>
  <si>
    <t xml:space="preserve">          viaticos conciliacion</t>
  </si>
  <si>
    <t xml:space="preserve">                        Local 7 Superservicios del Valle</t>
  </si>
  <si>
    <t>......CUMPLIMIENTO METAS</t>
  </si>
  <si>
    <t xml:space="preserve">        Intranet</t>
  </si>
  <si>
    <t>OTROS ARRENDAMIENTOS</t>
  </si>
  <si>
    <t>Impuesto al consumo</t>
  </si>
  <si>
    <t>intereses</t>
  </si>
  <si>
    <t>capacitaciones</t>
  </si>
  <si>
    <t>ipc</t>
  </si>
  <si>
    <t>PRESUPUESTO DE INGRESOS PUBLICOS AÑO 2018</t>
  </si>
  <si>
    <t>AÑO 2018</t>
  </si>
  <si>
    <t>PY AÑO 2017</t>
  </si>
  <si>
    <t>PRESUPUESTO 2018</t>
  </si>
  <si>
    <t>Ejecución 2017</t>
  </si>
  <si>
    <t>FLUJO DE CAJA 2018</t>
  </si>
  <si>
    <t>Presupuesto año 2018</t>
  </si>
  <si>
    <t>Presupuesto 2018</t>
  </si>
  <si>
    <t>Impresora GD epson TM u295</t>
  </si>
  <si>
    <t>Office 2017 Auxiliar Administrativo</t>
  </si>
  <si>
    <t>Intranet</t>
  </si>
  <si>
    <t>Mueble para elementos ejercicio</t>
  </si>
  <si>
    <t>Aire inverter Presidencia</t>
  </si>
  <si>
    <t>Aire auditoria 2</t>
  </si>
  <si>
    <t>Aire auditorio 2</t>
  </si>
  <si>
    <t>tablet</t>
  </si>
  <si>
    <t>moden</t>
  </si>
  <si>
    <t>Carpa jornadas</t>
  </si>
  <si>
    <t>Computador ventanilla 2</t>
  </si>
  <si>
    <t>Computador ventanilla 8</t>
  </si>
  <si>
    <t>Computador ventanilla 10</t>
  </si>
  <si>
    <t>Computador Asesor Roldanillo</t>
  </si>
  <si>
    <t>Computador auxiliar de archivo</t>
  </si>
  <si>
    <t>Computador auxiliar administrativo y financiero</t>
  </si>
  <si>
    <t>1 Impresora Epson tu295</t>
  </si>
  <si>
    <t>Carpa</t>
  </si>
  <si>
    <t>Aire Presidencia</t>
  </si>
  <si>
    <t>Mueble 3 piso</t>
  </si>
  <si>
    <t>TOTAL DE INVERSIONES 2018</t>
  </si>
  <si>
    <t>Capacitacion al personal</t>
  </si>
  <si>
    <t>Intereses de la Deuda</t>
  </si>
  <si>
    <t>Depreciaciones remodelacion locales</t>
  </si>
  <si>
    <t>IPC 2018</t>
  </si>
  <si>
    <t>PROYECCION CIERRE AÑO 2017</t>
  </si>
  <si>
    <t>AÑO 2018 SIN NUEVO</t>
  </si>
  <si>
    <t>Menos valores nuevos</t>
  </si>
  <si>
    <t>Total presupuesto sin actividades nuevas</t>
  </si>
  <si>
    <t>Total actividades nuevas año 2018</t>
  </si>
  <si>
    <t>Proyectado de cierre 2017</t>
  </si>
  <si>
    <t>Crecimiento real privado 2018 vs 2017</t>
  </si>
  <si>
    <t>Valor</t>
  </si>
  <si>
    <t>Actividades Privadas</t>
  </si>
  <si>
    <t>Total actividades nuevas mas IPC</t>
  </si>
  <si>
    <t>Elementos varios cafeteria</t>
  </si>
  <si>
    <t>Elementos varios auditorios</t>
  </si>
  <si>
    <t xml:space="preserve">           Publicación en periódico-Elección Junta</t>
  </si>
  <si>
    <t xml:space="preserve">           Publicidad radial elección Junta</t>
  </si>
  <si>
    <t xml:space="preserve">           Publicidad por TV  elección Junta</t>
  </si>
  <si>
    <t xml:space="preserve">           Video elección Junta</t>
  </si>
  <si>
    <t xml:space="preserve">          Refrigerios elecciones de Junta</t>
  </si>
  <si>
    <t>Impresoras portatiles recibos</t>
  </si>
  <si>
    <t>3 Moden</t>
  </si>
  <si>
    <t>3 Impresoras portatiles</t>
  </si>
  <si>
    <t>2 Tablets jornadas</t>
  </si>
  <si>
    <t>Ges (turismo-Bordados)</t>
  </si>
  <si>
    <t>EXCEDENTES SIN GASTOS ADICIONALES</t>
  </si>
  <si>
    <t>Secetrario juridico</t>
  </si>
  <si>
    <t>Asistente Juridico</t>
  </si>
  <si>
    <t>Auxiliar La Unión</t>
  </si>
  <si>
    <t>2 mes sin reemplazar</t>
  </si>
  <si>
    <t>3 meses sin reemplazar</t>
  </si>
  <si>
    <t>Elementos auditorios</t>
  </si>
  <si>
    <t>Actividades de Bienestar laboral</t>
  </si>
  <si>
    <t xml:space="preserve">          FERIA UNIVERSITARIA</t>
  </si>
  <si>
    <t>..........DIVIDENDOS ACCIONES</t>
  </si>
  <si>
    <t xml:space="preserve">               Contribucion CAE</t>
  </si>
  <si>
    <t>Honorarios concepto económico</t>
  </si>
  <si>
    <t>............INSCRI.EMPRESA ASOCIA TRABAJO CARTAGO</t>
  </si>
  <si>
    <t>............AUTORIZ MENORES DE EDAD CARTAGO</t>
  </si>
  <si>
    <t>............AUTORIZ MENORES DE EDAD LA UNION</t>
  </si>
  <si>
    <t>............AUTORIZ MENORES DE EDAD ROLDANILLO</t>
  </si>
  <si>
    <t>Gravamen 4 x 1000 Cartago</t>
  </si>
  <si>
    <t>Gravamen 4 x 1000 La Union</t>
  </si>
  <si>
    <t>Gravamen 4 x 1000 Roldanillo</t>
  </si>
  <si>
    <t>Comisiones Cartago</t>
  </si>
  <si>
    <t>Comisiones Roldanillo</t>
  </si>
  <si>
    <t>Comisiones La Union</t>
  </si>
  <si>
    <t>Afiliados NUEVOS</t>
  </si>
  <si>
    <t xml:space="preserve">     Hospedaje Conciliación</t>
  </si>
  <si>
    <t>Honorarios conciliadores</t>
  </si>
  <si>
    <t xml:space="preserve">     tiquetes conciliacion</t>
  </si>
  <si>
    <t xml:space="preserve">           Publicidad conciliacion</t>
  </si>
  <si>
    <t xml:space="preserve">          Cociliacion</t>
  </si>
  <si>
    <t xml:space="preserve">      Conciliacion</t>
  </si>
  <si>
    <t>........CONCILIACION</t>
  </si>
  <si>
    <t>CONCILIACION</t>
  </si>
  <si>
    <t>.........CONCILIACION</t>
  </si>
  <si>
    <t>..........CONCILIACION</t>
  </si>
  <si>
    <t>PRESUPUESTO 2018 INICIAL</t>
  </si>
  <si>
    <t>PRESUPUESTO 2018 FINAL</t>
  </si>
  <si>
    <t xml:space="preserve">           Pauta Canal UNE- las noticias</t>
  </si>
  <si>
    <t>Archivadores</t>
  </si>
  <si>
    <t>impresora registro</t>
  </si>
  <si>
    <t>Adecuacion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</si>
</sst>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\ _€_-;\-* #,##0.0\ _€_-;_-* &quot;-&quot;??\ _€_-;_-@_-"/>
    <numFmt numFmtId="167" formatCode="0.0%"/>
    <numFmt numFmtId="168" formatCode="_-* #,##0\ _$_-;\-* #,##0\ _$_-;_-* &quot;-&quot;??\ _$_-;_-@_-"/>
    <numFmt numFmtId="169" formatCode="_(* #,##0_);_(* \(#,##0\);_(* &quot;-&quot;??_);_(@_)"/>
    <numFmt numFmtId="170" formatCode="0.0000%"/>
    <numFmt numFmtId="171" formatCode="###,###,###,###,###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Calibri"/>
      <family val="2"/>
    </font>
    <font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indexed="8"/>
      <name val="Century Gothic"/>
      <family val="2"/>
    </font>
    <font>
      <b/>
      <sz val="14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9"/>
      <color theme="1"/>
      <name val="Century Gothic"/>
      <family val="2"/>
    </font>
    <font>
      <sz val="7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theme="3" tint="0.59999389629810485"/>
        <bgColor indexed="2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3" fillId="0" borderId="0"/>
    <xf numFmtId="41" fontId="1" fillId="0" borderId="0" applyFont="0" applyFill="0" applyBorder="0" applyAlignment="0" applyProtection="0"/>
  </cellStyleXfs>
  <cellXfs count="433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165" fontId="2" fillId="0" borderId="0" xfId="0" applyNumberFormat="1" applyFont="1"/>
    <xf numFmtId="0" fontId="3" fillId="0" borderId="0" xfId="0" applyFont="1" applyFill="1"/>
    <xf numFmtId="0" fontId="4" fillId="0" borderId="0" xfId="0" applyFont="1" applyFill="1"/>
    <xf numFmtId="0" fontId="3" fillId="0" borderId="5" xfId="0" applyFont="1" applyFill="1" applyBorder="1"/>
    <xf numFmtId="165" fontId="3" fillId="0" borderId="5" xfId="1" applyNumberFormat="1" applyFont="1" applyFill="1" applyBorder="1"/>
    <xf numFmtId="165" fontId="3" fillId="0" borderId="5" xfId="0" applyNumberFormat="1" applyFont="1" applyFill="1" applyBorder="1"/>
    <xf numFmtId="165" fontId="4" fillId="0" borderId="5" xfId="1" applyNumberFormat="1" applyFont="1" applyFill="1" applyBorder="1"/>
    <xf numFmtId="165" fontId="3" fillId="0" borderId="5" xfId="1" applyNumberFormat="1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3" fillId="0" borderId="4" xfId="0" applyFont="1" applyFill="1" applyBorder="1"/>
    <xf numFmtId="165" fontId="4" fillId="0" borderId="0" xfId="0" applyNumberFormat="1" applyFont="1" applyFill="1"/>
    <xf numFmtId="165" fontId="3" fillId="0" borderId="0" xfId="1" applyNumberFormat="1" applyFont="1" applyFill="1"/>
    <xf numFmtId="0" fontId="3" fillId="0" borderId="5" xfId="0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165" fontId="4" fillId="0" borderId="5" xfId="0" applyNumberFormat="1" applyFont="1" applyFill="1" applyBorder="1"/>
    <xf numFmtId="0" fontId="3" fillId="0" borderId="6" xfId="0" applyFont="1" applyFill="1" applyBorder="1"/>
    <xf numFmtId="165" fontId="3" fillId="0" borderId="0" xfId="0" applyNumberFormat="1" applyFont="1" applyFill="1"/>
    <xf numFmtId="0" fontId="3" fillId="0" borderId="10" xfId="0" applyFont="1" applyFill="1" applyBorder="1"/>
    <xf numFmtId="165" fontId="3" fillId="0" borderId="11" xfId="1" applyNumberFormat="1" applyFont="1" applyFill="1" applyBorder="1"/>
    <xf numFmtId="0" fontId="0" fillId="0" borderId="0" xfId="0" applyFont="1"/>
    <xf numFmtId="165" fontId="1" fillId="0" borderId="0" xfId="1" applyNumberFormat="1" applyFont="1"/>
    <xf numFmtId="167" fontId="3" fillId="0" borderId="0" xfId="2" applyNumberFormat="1" applyFont="1" applyFill="1"/>
    <xf numFmtId="0" fontId="3" fillId="0" borderId="7" xfId="0" applyFont="1" applyFill="1" applyBorder="1"/>
    <xf numFmtId="165" fontId="4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165" fontId="2" fillId="0" borderId="5" xfId="1" applyNumberFormat="1" applyFont="1" applyFill="1" applyBorder="1"/>
    <xf numFmtId="0" fontId="2" fillId="0" borderId="0" xfId="0" applyFont="1" applyFill="1"/>
    <xf numFmtId="168" fontId="3" fillId="0" borderId="5" xfId="1" applyNumberFormat="1" applyFont="1" applyFill="1" applyBorder="1"/>
    <xf numFmtId="0" fontId="4" fillId="0" borderId="10" xfId="0" applyFont="1" applyFill="1" applyBorder="1"/>
    <xf numFmtId="165" fontId="4" fillId="0" borderId="11" xfId="0" applyNumberFormat="1" applyFont="1" applyFill="1" applyBorder="1"/>
    <xf numFmtId="0" fontId="5" fillId="0" borderId="0" xfId="0" applyFont="1" applyFill="1"/>
    <xf numFmtId="168" fontId="5" fillId="0" borderId="5" xfId="1" applyNumberFormat="1" applyFont="1" applyFill="1" applyBorder="1"/>
    <xf numFmtId="167" fontId="2" fillId="0" borderId="20" xfId="2" applyNumberFormat="1" applyFont="1" applyFill="1" applyBorder="1"/>
    <xf numFmtId="167" fontId="2" fillId="0" borderId="21" xfId="2" applyNumberFormat="1" applyFont="1" applyFill="1" applyBorder="1"/>
    <xf numFmtId="165" fontId="0" fillId="0" borderId="0" xfId="1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165" fontId="9" fillId="0" borderId="0" xfId="1" applyNumberFormat="1" applyFont="1" applyFill="1"/>
    <xf numFmtId="165" fontId="0" fillId="0" borderId="0" xfId="1" applyNumberFormat="1" applyFont="1" applyFill="1" applyAlignment="1">
      <alignment horizontal="left"/>
    </xf>
    <xf numFmtId="0" fontId="2" fillId="0" borderId="7" xfId="0" applyFont="1" applyFill="1" applyBorder="1"/>
    <xf numFmtId="165" fontId="2" fillId="0" borderId="8" xfId="1" applyNumberFormat="1" applyFont="1" applyFill="1" applyBorder="1"/>
    <xf numFmtId="165" fontId="2" fillId="0" borderId="0" xfId="0" applyNumberFormat="1" applyFont="1" applyFill="1"/>
    <xf numFmtId="3" fontId="0" fillId="0" borderId="5" xfId="0" applyNumberFormat="1" applyFont="1" applyFill="1" applyBorder="1"/>
    <xf numFmtId="168" fontId="0" fillId="0" borderId="5" xfId="1" applyNumberFormat="1" applyFont="1" applyFill="1" applyBorder="1"/>
    <xf numFmtId="167" fontId="0" fillId="0" borderId="21" xfId="2" applyNumberFormat="1" applyFont="1" applyFill="1" applyBorder="1"/>
    <xf numFmtId="165" fontId="0" fillId="0" borderId="5" xfId="1" applyNumberFormat="1" applyFont="1" applyFill="1" applyBorder="1"/>
    <xf numFmtId="165" fontId="0" fillId="0" borderId="11" xfId="1" applyNumberFormat="1" applyFont="1" applyFill="1" applyBorder="1"/>
    <xf numFmtId="0" fontId="2" fillId="0" borderId="0" xfId="0" applyFont="1" applyFill="1" applyBorder="1"/>
    <xf numFmtId="165" fontId="2" fillId="0" borderId="0" xfId="1" applyNumberFormat="1" applyFont="1" applyFill="1" applyBorder="1"/>
    <xf numFmtId="3" fontId="2" fillId="0" borderId="0" xfId="0" applyNumberFormat="1" applyFont="1" applyFill="1" applyBorder="1"/>
    <xf numFmtId="165" fontId="2" fillId="0" borderId="0" xfId="1" applyNumberFormat="1" applyFont="1" applyFill="1"/>
    <xf numFmtId="165" fontId="2" fillId="0" borderId="5" xfId="0" applyNumberFormat="1" applyFont="1" applyFill="1" applyBorder="1" applyAlignment="1">
      <alignment horizontal="center" vertical="center" wrapText="1"/>
    </xf>
    <xf numFmtId="165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/>
    <xf numFmtId="165" fontId="2" fillId="0" borderId="5" xfId="0" applyNumberFormat="1" applyFont="1" applyFill="1" applyBorder="1"/>
    <xf numFmtId="165" fontId="0" fillId="0" borderId="5" xfId="1" applyNumberFormat="1" applyFont="1" applyFill="1" applyBorder="1" applyAlignment="1">
      <alignment horizontal="justify" vertical="center"/>
    </xf>
    <xf numFmtId="0" fontId="0" fillId="0" borderId="0" xfId="0" applyFont="1" applyFill="1" applyAlignment="1">
      <alignment horizontal="justify" vertical="center"/>
    </xf>
    <xf numFmtId="165" fontId="0" fillId="0" borderId="5" xfId="1" applyNumberFormat="1" applyFont="1" applyFill="1" applyBorder="1" applyAlignment="1">
      <alignment horizontal="left" vertical="center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0" fillId="0" borderId="5" xfId="1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65" fontId="0" fillId="0" borderId="5" xfId="0" applyNumberFormat="1" applyFont="1" applyFill="1" applyBorder="1"/>
    <xf numFmtId="166" fontId="0" fillId="0" borderId="5" xfId="1" applyNumberFormat="1" applyFont="1" applyFill="1" applyBorder="1" applyAlignment="1">
      <alignment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3" fontId="10" fillId="0" borderId="5" xfId="3" applyNumberFormat="1" applyFill="1" applyBorder="1"/>
    <xf numFmtId="3" fontId="10" fillId="0" borderId="5" xfId="3" applyNumberFormat="1" applyBorder="1"/>
    <xf numFmtId="3" fontId="10" fillId="3" borderId="5" xfId="3" applyNumberFormat="1" applyFill="1" applyBorder="1"/>
    <xf numFmtId="3" fontId="10" fillId="0" borderId="22" xfId="3" applyNumberFormat="1" applyFill="1" applyBorder="1"/>
    <xf numFmtId="3" fontId="10" fillId="0" borderId="23" xfId="3" applyNumberFormat="1" applyFill="1" applyBorder="1"/>
    <xf numFmtId="10" fontId="2" fillId="0" borderId="0" xfId="2" applyNumberFormat="1" applyFont="1" applyFill="1" applyAlignment="1">
      <alignment horizontal="center"/>
    </xf>
    <xf numFmtId="164" fontId="0" fillId="0" borderId="0" xfId="1" applyFont="1" applyFill="1"/>
    <xf numFmtId="168" fontId="0" fillId="0" borderId="0" xfId="1" applyNumberFormat="1" applyFont="1" applyFill="1" applyBorder="1"/>
    <xf numFmtId="3" fontId="10" fillId="0" borderId="5" xfId="3" applyNumberFormat="1" applyFill="1" applyBorder="1" applyAlignment="1">
      <alignment horizontal="right" vertical="center"/>
    </xf>
    <xf numFmtId="0" fontId="0" fillId="0" borderId="0" xfId="0" applyFill="1" applyBorder="1"/>
    <xf numFmtId="0" fontId="4" fillId="0" borderId="0" xfId="0" applyFont="1" applyFill="1" applyBorder="1"/>
    <xf numFmtId="0" fontId="15" fillId="0" borderId="0" xfId="0" applyFont="1"/>
    <xf numFmtId="0" fontId="15" fillId="0" borderId="5" xfId="0" applyFont="1" applyBorder="1"/>
    <xf numFmtId="165" fontId="15" fillId="0" borderId="5" xfId="1" applyNumberFormat="1" applyFont="1" applyBorder="1"/>
    <xf numFmtId="0" fontId="18" fillId="0" borderId="0" xfId="0" applyFont="1"/>
    <xf numFmtId="0" fontId="17" fillId="4" borderId="0" xfId="0" applyFont="1" applyFill="1" applyBorder="1" applyAlignment="1">
      <alignment horizontal="center"/>
    </xf>
    <xf numFmtId="0" fontId="18" fillId="0" borderId="0" xfId="0" applyFont="1" applyBorder="1"/>
    <xf numFmtId="165" fontId="18" fillId="0" borderId="0" xfId="1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165" fontId="17" fillId="0" borderId="0" xfId="1" applyNumberFormat="1" applyFont="1" applyBorder="1"/>
    <xf numFmtId="0" fontId="17" fillId="4" borderId="0" xfId="0" applyFont="1" applyFill="1" applyBorder="1"/>
    <xf numFmtId="165" fontId="17" fillId="4" borderId="0" xfId="1" applyNumberFormat="1" applyFont="1" applyFill="1" applyBorder="1"/>
    <xf numFmtId="0" fontId="16" fillId="0" borderId="0" xfId="0" applyFont="1"/>
    <xf numFmtId="165" fontId="16" fillId="0" borderId="0" xfId="1" applyNumberFormat="1" applyFont="1"/>
    <xf numFmtId="165" fontId="15" fillId="0" borderId="0" xfId="1" applyNumberFormat="1" applyFont="1"/>
    <xf numFmtId="0" fontId="15" fillId="0" borderId="0" xfId="0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6" fillId="2" borderId="7" xfId="0" applyFont="1" applyFill="1" applyBorder="1"/>
    <xf numFmtId="165" fontId="16" fillId="2" borderId="9" xfId="1" applyNumberFormat="1" applyFont="1" applyFill="1" applyBorder="1"/>
    <xf numFmtId="0" fontId="16" fillId="2" borderId="4" xfId="0" applyFont="1" applyFill="1" applyBorder="1"/>
    <xf numFmtId="165" fontId="16" fillId="2" borderId="6" xfId="1" applyNumberFormat="1" applyFont="1" applyFill="1" applyBorder="1"/>
    <xf numFmtId="0" fontId="15" fillId="0" borderId="4" xfId="0" applyFont="1" applyBorder="1"/>
    <xf numFmtId="0" fontId="15" fillId="0" borderId="10" xfId="0" applyFont="1" applyBorder="1"/>
    <xf numFmtId="0" fontId="15" fillId="0" borderId="24" xfId="0" applyFont="1" applyBorder="1"/>
    <xf numFmtId="0" fontId="15" fillId="0" borderId="15" xfId="0" applyFont="1" applyBorder="1"/>
    <xf numFmtId="165" fontId="15" fillId="0" borderId="16" xfId="1" applyNumberFormat="1" applyFont="1" applyBorder="1"/>
    <xf numFmtId="0" fontId="15" fillId="0" borderId="0" xfId="0" applyFont="1" applyBorder="1"/>
    <xf numFmtId="165" fontId="15" fillId="0" borderId="0" xfId="1" applyNumberFormat="1" applyFont="1" applyBorder="1"/>
    <xf numFmtId="165" fontId="16" fillId="0" borderId="0" xfId="0" applyNumberFormat="1" applyFont="1"/>
    <xf numFmtId="165" fontId="16" fillId="0" borderId="0" xfId="2" applyNumberFormat="1" applyFont="1"/>
    <xf numFmtId="9" fontId="16" fillId="0" borderId="0" xfId="2" applyFont="1"/>
    <xf numFmtId="164" fontId="15" fillId="0" borderId="0" xfId="1" applyFont="1"/>
    <xf numFmtId="0" fontId="15" fillId="0" borderId="10" xfId="0" applyFont="1" applyFill="1" applyBorder="1"/>
    <xf numFmtId="165" fontId="16" fillId="0" borderId="17" xfId="1" applyNumberFormat="1" applyFont="1" applyBorder="1" applyAlignment="1">
      <alignment horizontal="center" vertical="center" wrapText="1"/>
    </xf>
    <xf numFmtId="165" fontId="15" fillId="0" borderId="6" xfId="1" applyNumberFormat="1" applyFont="1" applyBorder="1"/>
    <xf numFmtId="165" fontId="15" fillId="0" borderId="12" xfId="1" applyNumberFormat="1" applyFont="1" applyBorder="1"/>
    <xf numFmtId="165" fontId="15" fillId="0" borderId="25" xfId="1" applyNumberFormat="1" applyFont="1" applyBorder="1"/>
    <xf numFmtId="0" fontId="16" fillId="2" borderId="1" xfId="0" applyFont="1" applyFill="1" applyBorder="1"/>
    <xf numFmtId="165" fontId="16" fillId="2" borderId="3" xfId="1" applyNumberFormat="1" applyFont="1" applyFill="1" applyBorder="1"/>
    <xf numFmtId="165" fontId="16" fillId="0" borderId="17" xfId="1" applyNumberFormat="1" applyFont="1" applyBorder="1" applyAlignment="1">
      <alignment horizontal="center"/>
    </xf>
    <xf numFmtId="0" fontId="16" fillId="2" borderId="13" xfId="0" applyFont="1" applyFill="1" applyBorder="1"/>
    <xf numFmtId="165" fontId="16" fillId="2" borderId="14" xfId="1" applyNumberFormat="1" applyFont="1" applyFill="1" applyBorder="1"/>
    <xf numFmtId="0" fontId="16" fillId="0" borderId="0" xfId="0" applyFont="1" applyBorder="1" applyAlignment="1">
      <alignment horizontal="center"/>
    </xf>
    <xf numFmtId="165" fontId="15" fillId="0" borderId="0" xfId="0" applyNumberFormat="1" applyFont="1" applyBorder="1"/>
    <xf numFmtId="167" fontId="15" fillId="0" borderId="0" xfId="2" applyNumberFormat="1" applyFont="1" applyBorder="1"/>
    <xf numFmtId="0" fontId="16" fillId="4" borderId="0" xfId="0" applyFont="1" applyFill="1" applyBorder="1"/>
    <xf numFmtId="165" fontId="16" fillId="4" borderId="0" xfId="1" applyNumberFormat="1" applyFont="1" applyFill="1" applyBorder="1"/>
    <xf numFmtId="167" fontId="16" fillId="4" borderId="0" xfId="2" applyNumberFormat="1" applyFont="1" applyFill="1" applyBorder="1"/>
    <xf numFmtId="0" fontId="16" fillId="2" borderId="0" xfId="0" applyFont="1" applyFill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5" fontId="15" fillId="0" borderId="0" xfId="0" applyNumberFormat="1" applyFont="1"/>
    <xf numFmtId="0" fontId="19" fillId="0" borderId="0" xfId="0" applyFont="1"/>
    <xf numFmtId="3" fontId="15" fillId="0" borderId="0" xfId="0" applyNumberFormat="1" applyFont="1"/>
    <xf numFmtId="0" fontId="20" fillId="0" borderId="0" xfId="0" applyFont="1" applyAlignment="1">
      <alignment horizontal="center"/>
    </xf>
    <xf numFmtId="3" fontId="20" fillId="0" borderId="0" xfId="0" applyNumberFormat="1" applyFont="1"/>
    <xf numFmtId="3" fontId="19" fillId="0" borderId="0" xfId="0" applyNumberFormat="1" applyFont="1"/>
    <xf numFmtId="0" fontId="2" fillId="0" borderId="0" xfId="0" applyFont="1" applyAlignment="1">
      <alignment horizontal="center"/>
    </xf>
    <xf numFmtId="3" fontId="0" fillId="0" borderId="0" xfId="0" applyNumberFormat="1"/>
    <xf numFmtId="0" fontId="20" fillId="0" borderId="0" xfId="0" applyFont="1"/>
    <xf numFmtId="0" fontId="10" fillId="0" borderId="0" xfId="3"/>
    <xf numFmtId="0" fontId="13" fillId="0" borderId="0" xfId="4"/>
    <xf numFmtId="0" fontId="21" fillId="6" borderId="22" xfId="3" applyFont="1" applyFill="1" applyBorder="1"/>
    <xf numFmtId="0" fontId="10" fillId="0" borderId="22" xfId="3" applyBorder="1"/>
    <xf numFmtId="0" fontId="21" fillId="0" borderId="22" xfId="3" applyFont="1" applyBorder="1"/>
    <xf numFmtId="3" fontId="21" fillId="0" borderId="22" xfId="3" applyNumberFormat="1" applyFont="1" applyBorder="1"/>
    <xf numFmtId="0" fontId="13" fillId="0" borderId="22" xfId="3" applyFont="1" applyBorder="1"/>
    <xf numFmtId="0" fontId="10" fillId="0" borderId="22" xfId="3" applyFill="1" applyBorder="1"/>
    <xf numFmtId="0" fontId="13" fillId="0" borderId="22" xfId="3" applyFont="1" applyFill="1" applyBorder="1"/>
    <xf numFmtId="0" fontId="13" fillId="0" borderId="0" xfId="4" applyFill="1"/>
    <xf numFmtId="0" fontId="13" fillId="0" borderId="27" xfId="3" applyFont="1" applyFill="1" applyBorder="1"/>
    <xf numFmtId="3" fontId="10" fillId="0" borderId="22" xfId="3" applyNumberFormat="1" applyBorder="1"/>
    <xf numFmtId="3" fontId="21" fillId="6" borderId="22" xfId="3" applyNumberFormat="1" applyFont="1" applyFill="1" applyBorder="1"/>
    <xf numFmtId="168" fontId="2" fillId="0" borderId="5" xfId="1" applyNumberFormat="1" applyFont="1" applyFill="1" applyBorder="1"/>
    <xf numFmtId="0" fontId="0" fillId="0" borderId="4" xfId="0" applyFont="1" applyFill="1" applyBorder="1"/>
    <xf numFmtId="0" fontId="10" fillId="0" borderId="4" xfId="0" applyFont="1" applyFill="1" applyBorder="1"/>
    <xf numFmtId="0" fontId="0" fillId="0" borderId="10" xfId="0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/>
    <xf numFmtId="165" fontId="2" fillId="0" borderId="0" xfId="0" applyNumberFormat="1" applyFont="1" applyFill="1" applyAlignment="1">
      <alignment horizontal="center"/>
    </xf>
    <xf numFmtId="0" fontId="4" fillId="0" borderId="7" xfId="0" applyFont="1" applyFill="1" applyBorder="1"/>
    <xf numFmtId="165" fontId="4" fillId="0" borderId="8" xfId="1" applyNumberFormat="1" applyFont="1" applyFill="1" applyBorder="1"/>
    <xf numFmtId="0" fontId="8" fillId="0" borderId="4" xfId="0" applyFont="1" applyFill="1" applyBorder="1"/>
    <xf numFmtId="9" fontId="15" fillId="0" borderId="0" xfId="2" applyFont="1" applyAlignment="1">
      <alignment horizontal="center"/>
    </xf>
    <xf numFmtId="9" fontId="15" fillId="0" borderId="0" xfId="2" applyNumberFormat="1" applyFont="1" applyBorder="1" applyAlignment="1">
      <alignment horizontal="center"/>
    </xf>
    <xf numFmtId="165" fontId="17" fillId="5" borderId="0" xfId="1" applyNumberFormat="1" applyFont="1" applyFill="1" applyBorder="1"/>
    <xf numFmtId="0" fontId="17" fillId="5" borderId="0" xfId="0" applyFont="1" applyFill="1" applyBorder="1"/>
    <xf numFmtId="165" fontId="0" fillId="0" borderId="0" xfId="0" applyNumberFormat="1"/>
    <xf numFmtId="0" fontId="0" fillId="4" borderId="0" xfId="0" applyFill="1"/>
    <xf numFmtId="0" fontId="0" fillId="5" borderId="0" xfId="0" applyFill="1"/>
    <xf numFmtId="0" fontId="17" fillId="0" borderId="0" xfId="0" applyFont="1" applyAlignment="1"/>
    <xf numFmtId="9" fontId="0" fillId="0" borderId="0" xfId="2" applyFont="1" applyAlignment="1">
      <alignment horizontal="center"/>
    </xf>
    <xf numFmtId="3" fontId="22" fillId="0" borderId="5" xfId="1" applyNumberFormat="1" applyFont="1" applyFill="1" applyBorder="1"/>
    <xf numFmtId="3" fontId="22" fillId="0" borderId="28" xfId="1" applyNumberFormat="1" applyFont="1" applyFill="1" applyBorder="1"/>
    <xf numFmtId="3" fontId="22" fillId="0" borderId="21" xfId="1" applyNumberFormat="1" applyFont="1" applyFill="1" applyBorder="1"/>
    <xf numFmtId="3" fontId="24" fillId="0" borderId="5" xfId="1" applyNumberFormat="1" applyFont="1" applyFill="1" applyBorder="1"/>
    <xf numFmtId="3" fontId="23" fillId="0" borderId="0" xfId="1" applyNumberFormat="1" applyFont="1" applyFill="1" applyBorder="1"/>
    <xf numFmtId="10" fontId="22" fillId="0" borderId="0" xfId="2" applyNumberFormat="1" applyFont="1" applyFill="1" applyBorder="1"/>
    <xf numFmtId="3" fontId="22" fillId="0" borderId="0" xfId="1" applyNumberFormat="1" applyFont="1" applyFill="1" applyBorder="1"/>
    <xf numFmtId="3" fontId="8" fillId="0" borderId="0" xfId="1" applyNumberFormat="1" applyFont="1" applyFill="1" applyBorder="1"/>
    <xf numFmtId="10" fontId="24" fillId="0" borderId="0" xfId="2" applyNumberFormat="1" applyFont="1" applyFill="1" applyBorder="1"/>
    <xf numFmtId="3" fontId="24" fillId="0" borderId="0" xfId="1" applyNumberFormat="1" applyFont="1" applyFill="1" applyBorder="1"/>
    <xf numFmtId="169" fontId="24" fillId="0" borderId="0" xfId="1" applyNumberFormat="1" applyFont="1" applyFill="1" applyBorder="1"/>
    <xf numFmtId="10" fontId="0" fillId="0" borderId="0" xfId="2" applyNumberFormat="1" applyFont="1" applyFill="1"/>
    <xf numFmtId="9" fontId="0" fillId="0" borderId="0" xfId="2" applyFont="1" applyFill="1"/>
    <xf numFmtId="167" fontId="0" fillId="0" borderId="0" xfId="2" applyNumberFormat="1" applyFont="1" applyFill="1"/>
    <xf numFmtId="10" fontId="25" fillId="0" borderId="0" xfId="2" applyNumberFormat="1" applyFont="1" applyFill="1"/>
    <xf numFmtId="9" fontId="8" fillId="0" borderId="0" xfId="2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ont="1" applyFill="1" applyBorder="1"/>
    <xf numFmtId="10" fontId="24" fillId="0" borderId="5" xfId="2" applyNumberFormat="1" applyFont="1" applyFill="1" applyBorder="1"/>
    <xf numFmtId="0" fontId="22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9" fontId="25" fillId="0" borderId="0" xfId="2" applyFont="1" applyFill="1"/>
    <xf numFmtId="9" fontId="26" fillId="0" borderId="0" xfId="2" applyFont="1" applyFill="1"/>
    <xf numFmtId="169" fontId="24" fillId="0" borderId="5" xfId="1" applyNumberFormat="1" applyFont="1" applyFill="1" applyBorder="1"/>
    <xf numFmtId="10" fontId="26" fillId="0" borderId="0" xfId="2" applyNumberFormat="1" applyFont="1" applyFill="1"/>
    <xf numFmtId="169" fontId="22" fillId="0" borderId="5" xfId="1" applyNumberFormat="1" applyFont="1" applyFill="1" applyBorder="1"/>
    <xf numFmtId="166" fontId="0" fillId="0" borderId="5" xfId="1" applyNumberFormat="1" applyFont="1" applyFill="1" applyBorder="1"/>
    <xf numFmtId="169" fontId="0" fillId="0" borderId="5" xfId="0" applyNumberFormat="1" applyFont="1" applyFill="1" applyBorder="1"/>
    <xf numFmtId="3" fontId="27" fillId="0" borderId="5" xfId="3" applyNumberFormat="1" applyFont="1" applyFill="1" applyBorder="1"/>
    <xf numFmtId="9" fontId="4" fillId="0" borderId="0" xfId="2" applyFont="1" applyFill="1" applyAlignment="1">
      <alignment horizontal="center"/>
    </xf>
    <xf numFmtId="10" fontId="3" fillId="0" borderId="0" xfId="2" applyNumberFormat="1" applyFont="1" applyFill="1"/>
    <xf numFmtId="169" fontId="8" fillId="0" borderId="5" xfId="1" applyNumberFormat="1" applyFont="1" applyFill="1" applyBorder="1"/>
    <xf numFmtId="169" fontId="23" fillId="0" borderId="5" xfId="1" applyNumberFormat="1" applyFont="1" applyFill="1" applyBorder="1"/>
    <xf numFmtId="0" fontId="3" fillId="0" borderId="24" xfId="0" applyFont="1" applyFill="1" applyBorder="1"/>
    <xf numFmtId="165" fontId="3" fillId="0" borderId="26" xfId="1" applyNumberFormat="1" applyFont="1" applyFill="1" applyBorder="1"/>
    <xf numFmtId="165" fontId="3" fillId="0" borderId="25" xfId="1" applyNumberFormat="1" applyFont="1" applyFill="1" applyBorder="1"/>
    <xf numFmtId="9" fontId="4" fillId="0" borderId="6" xfId="2" applyFont="1" applyFill="1" applyBorder="1"/>
    <xf numFmtId="0" fontId="3" fillId="0" borderId="0" xfId="0" applyFont="1" applyFill="1" applyBorder="1"/>
    <xf numFmtId="165" fontId="3" fillId="0" borderId="0" xfId="1" applyNumberFormat="1" applyFont="1" applyFill="1" applyBorder="1"/>
    <xf numFmtId="167" fontId="4" fillId="0" borderId="0" xfId="2" applyNumberFormat="1" applyFont="1" applyFill="1" applyBorder="1" applyAlignment="1">
      <alignment horizontal="center"/>
    </xf>
    <xf numFmtId="2" fontId="28" fillId="2" borderId="17" xfId="0" applyNumberFormat="1" applyFont="1" applyFill="1" applyBorder="1" applyAlignment="1">
      <alignment horizontal="center" vertical="center" wrapText="1"/>
    </xf>
    <xf numFmtId="9" fontId="3" fillId="0" borderId="6" xfId="2" applyFont="1" applyFill="1" applyBorder="1"/>
    <xf numFmtId="9" fontId="3" fillId="0" borderId="12" xfId="2" applyFont="1" applyFill="1" applyBorder="1"/>
    <xf numFmtId="0" fontId="8" fillId="0" borderId="0" xfId="0" applyFont="1" applyBorder="1" applyAlignment="1">
      <alignment horizontal="right"/>
    </xf>
    <xf numFmtId="3" fontId="19" fillId="0" borderId="0" xfId="0" applyNumberFormat="1" applyFont="1" applyFill="1"/>
    <xf numFmtId="0" fontId="19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/>
    <xf numFmtId="3" fontId="20" fillId="0" borderId="0" xfId="0" applyNumberFormat="1" applyFont="1" applyFill="1"/>
    <xf numFmtId="0" fontId="29" fillId="0" borderId="5" xfId="3" applyFont="1" applyBorder="1"/>
    <xf numFmtId="0" fontId="30" fillId="0" borderId="5" xfId="3" applyFont="1" applyBorder="1"/>
    <xf numFmtId="0" fontId="31" fillId="0" borderId="5" xfId="3" applyFont="1" applyBorder="1"/>
    <xf numFmtId="3" fontId="29" fillId="0" borderId="5" xfId="3" applyNumberFormat="1" applyFont="1" applyBorder="1"/>
    <xf numFmtId="0" fontId="32" fillId="0" borderId="5" xfId="3" applyFont="1" applyBorder="1"/>
    <xf numFmtId="3" fontId="32" fillId="0" borderId="5" xfId="3" applyNumberFormat="1" applyFont="1" applyBorder="1"/>
    <xf numFmtId="0" fontId="32" fillId="0" borderId="5" xfId="3" applyFont="1" applyFill="1" applyBorder="1"/>
    <xf numFmtId="0" fontId="29" fillId="7" borderId="5" xfId="3" applyFont="1" applyFill="1" applyBorder="1"/>
    <xf numFmtId="3" fontId="29" fillId="7" borderId="5" xfId="3" applyNumberFormat="1" applyFont="1" applyFill="1" applyBorder="1"/>
    <xf numFmtId="3" fontId="30" fillId="0" borderId="5" xfId="3" applyNumberFormat="1" applyFont="1" applyBorder="1"/>
    <xf numFmtId="0" fontId="29" fillId="0" borderId="5" xfId="4" applyFont="1" applyBorder="1"/>
    <xf numFmtId="0" fontId="32" fillId="0" borderId="5" xfId="4" applyFont="1" applyBorder="1"/>
    <xf numFmtId="0" fontId="29" fillId="4" borderId="5" xfId="4" applyFont="1" applyFill="1" applyBorder="1"/>
    <xf numFmtId="3" fontId="29" fillId="4" borderId="5" xfId="4" applyNumberFormat="1" applyFont="1" applyFill="1" applyBorder="1"/>
    <xf numFmtId="9" fontId="0" fillId="0" borderId="0" xfId="2" applyFont="1"/>
    <xf numFmtId="0" fontId="17" fillId="0" borderId="0" xfId="0" applyFont="1" applyFill="1" applyBorder="1"/>
    <xf numFmtId="165" fontId="17" fillId="0" borderId="0" xfId="1" applyNumberFormat="1" applyFont="1" applyFill="1" applyBorder="1"/>
    <xf numFmtId="0" fontId="17" fillId="0" borderId="0" xfId="0" applyFont="1" applyFill="1" applyBorder="1" applyAlignment="1">
      <alignment horizontal="left"/>
    </xf>
    <xf numFmtId="10" fontId="2" fillId="0" borderId="0" xfId="2" applyNumberFormat="1" applyFont="1" applyFill="1"/>
    <xf numFmtId="165" fontId="2" fillId="8" borderId="5" xfId="0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vertical="center" wrapText="1"/>
    </xf>
    <xf numFmtId="10" fontId="8" fillId="0" borderId="0" xfId="2" applyNumberFormat="1" applyFont="1" applyFill="1" applyBorder="1"/>
    <xf numFmtId="167" fontId="0" fillId="0" borderId="30" xfId="2" applyNumberFormat="1" applyFont="1" applyFill="1" applyBorder="1"/>
    <xf numFmtId="0" fontId="3" fillId="8" borderId="4" xfId="0" applyFont="1" applyFill="1" applyBorder="1"/>
    <xf numFmtId="0" fontId="3" fillId="8" borderId="0" xfId="0" applyFont="1" applyFill="1" applyAlignment="1">
      <alignment horizontal="right"/>
    </xf>
    <xf numFmtId="165" fontId="4" fillId="8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justify" vertical="center"/>
    </xf>
    <xf numFmtId="0" fontId="0" fillId="8" borderId="4" xfId="0" applyFont="1" applyFill="1" applyBorder="1"/>
    <xf numFmtId="0" fontId="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/>
    <xf numFmtId="167" fontId="0" fillId="0" borderId="6" xfId="2" applyNumberFormat="1" applyFont="1" applyFill="1" applyBorder="1"/>
    <xf numFmtId="0" fontId="14" fillId="0" borderId="4" xfId="3" applyFont="1" applyFill="1" applyBorder="1"/>
    <xf numFmtId="0" fontId="0" fillId="0" borderId="4" xfId="0" applyFont="1" applyFill="1" applyBorder="1" applyAlignment="1">
      <alignment vertical="center" wrapText="1"/>
    </xf>
    <xf numFmtId="0" fontId="10" fillId="0" borderId="4" xfId="3" applyFont="1" applyFill="1" applyBorder="1"/>
    <xf numFmtId="0" fontId="0" fillId="0" borderId="4" xfId="0" applyFont="1" applyFill="1" applyBorder="1" applyAlignment="1">
      <alignment wrapText="1"/>
    </xf>
    <xf numFmtId="0" fontId="10" fillId="8" borderId="4" xfId="3" applyFont="1" applyFill="1" applyBorder="1"/>
    <xf numFmtId="0" fontId="2" fillId="0" borderId="4" xfId="0" applyFont="1" applyFill="1" applyBorder="1" applyAlignment="1">
      <alignment vertical="center" wrapText="1"/>
    </xf>
    <xf numFmtId="0" fontId="12" fillId="0" borderId="4" xfId="0" applyFont="1" applyFill="1" applyBorder="1"/>
    <xf numFmtId="0" fontId="13" fillId="0" borderId="31" xfId="3" applyFont="1" applyFill="1" applyBorder="1"/>
    <xf numFmtId="165" fontId="2" fillId="9" borderId="3" xfId="1" applyNumberFormat="1" applyFont="1" applyFill="1" applyBorder="1"/>
    <xf numFmtId="165" fontId="2" fillId="9" borderId="2" xfId="1" applyNumberFormat="1" applyFont="1" applyFill="1" applyBorder="1"/>
    <xf numFmtId="0" fontId="2" fillId="9" borderId="1" xfId="0" applyFont="1" applyFill="1" applyBorder="1"/>
    <xf numFmtId="0" fontId="8" fillId="8" borderId="0" xfId="0" applyFont="1" applyFill="1" applyBorder="1" applyAlignment="1">
      <alignment horizontal="right"/>
    </xf>
    <xf numFmtId="165" fontId="10" fillId="0" borderId="22" xfId="1" applyNumberFormat="1" applyFont="1" applyBorder="1"/>
    <xf numFmtId="165" fontId="13" fillId="0" borderId="22" xfId="1" applyNumberFormat="1" applyFont="1" applyBorder="1"/>
    <xf numFmtId="165" fontId="10" fillId="0" borderId="29" xfId="1" applyNumberFormat="1" applyFont="1" applyBorder="1"/>
    <xf numFmtId="165" fontId="15" fillId="0" borderId="5" xfId="0" applyNumberFormat="1" applyFont="1" applyBorder="1"/>
    <xf numFmtId="167" fontId="15" fillId="0" borderId="5" xfId="2" applyNumberFormat="1" applyFont="1" applyBorder="1"/>
    <xf numFmtId="167" fontId="16" fillId="0" borderId="5" xfId="2" applyNumberFormat="1" applyFont="1" applyBorder="1"/>
    <xf numFmtId="0" fontId="15" fillId="0" borderId="5" xfId="0" applyFont="1" applyFill="1" applyBorder="1"/>
    <xf numFmtId="9" fontId="15" fillId="0" borderId="0" xfId="0" applyNumberFormat="1" applyFont="1"/>
    <xf numFmtId="0" fontId="19" fillId="0" borderId="5" xfId="0" applyFont="1" applyBorder="1"/>
    <xf numFmtId="165" fontId="19" fillId="0" borderId="5" xfId="1" applyNumberFormat="1" applyFont="1" applyFill="1" applyBorder="1"/>
    <xf numFmtId="0" fontId="19" fillId="0" borderId="5" xfId="0" applyFont="1" applyFill="1" applyBorder="1" applyAlignment="1">
      <alignment vertical="top"/>
    </xf>
    <xf numFmtId="165" fontId="0" fillId="0" borderId="5" xfId="1" applyNumberFormat="1" applyFont="1" applyBorder="1"/>
    <xf numFmtId="9" fontId="0" fillId="0" borderId="5" xfId="2" applyFont="1" applyBorder="1"/>
    <xf numFmtId="165" fontId="0" fillId="0" borderId="5" xfId="0" applyNumberFormat="1" applyBorder="1"/>
    <xf numFmtId="10" fontId="0" fillId="0" borderId="5" xfId="2" applyNumberFormat="1" applyFont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5" xfId="0" applyFont="1" applyFill="1" applyBorder="1"/>
    <xf numFmtId="165" fontId="2" fillId="11" borderId="5" xfId="1" applyNumberFormat="1" applyFont="1" applyFill="1" applyBorder="1"/>
    <xf numFmtId="10" fontId="2" fillId="11" borderId="5" xfId="2" applyNumberFormat="1" applyFont="1" applyFill="1" applyBorder="1"/>
    <xf numFmtId="165" fontId="2" fillId="11" borderId="5" xfId="0" applyNumberFormat="1" applyFont="1" applyFill="1" applyBorder="1"/>
    <xf numFmtId="9" fontId="0" fillId="0" borderId="5" xfId="0" applyNumberForma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3" fillId="9" borderId="4" xfId="0" applyFont="1" applyFill="1" applyBorder="1"/>
    <xf numFmtId="0" fontId="5" fillId="9" borderId="4" xfId="0" applyFont="1" applyFill="1" applyBorder="1"/>
    <xf numFmtId="3" fontId="0" fillId="0" borderId="0" xfId="0" applyNumberFormat="1" applyFont="1" applyFill="1"/>
    <xf numFmtId="167" fontId="2" fillId="0" borderId="0" xfId="2" applyNumberFormat="1" applyFont="1" applyFill="1" applyAlignment="1">
      <alignment horizontal="center"/>
    </xf>
    <xf numFmtId="165" fontId="0" fillId="10" borderId="5" xfId="1" applyNumberFormat="1" applyFont="1" applyFill="1" applyBorder="1"/>
    <xf numFmtId="165" fontId="0" fillId="10" borderId="5" xfId="0" applyNumberFormat="1" applyFont="1" applyFill="1" applyBorder="1" applyAlignment="1">
      <alignment horizontal="center" vertical="center" wrapText="1"/>
    </xf>
    <xf numFmtId="3" fontId="0" fillId="10" borderId="5" xfId="0" applyNumberFormat="1" applyFont="1" applyFill="1" applyBorder="1"/>
    <xf numFmtId="165" fontId="0" fillId="10" borderId="19" xfId="1" applyNumberFormat="1" applyFont="1" applyFill="1" applyBorder="1"/>
    <xf numFmtId="165" fontId="0" fillId="10" borderId="5" xfId="1" applyNumberFormat="1" applyFont="1" applyFill="1" applyBorder="1" applyAlignment="1">
      <alignment horizontal="left" vertical="center" wrapText="1"/>
    </xf>
    <xf numFmtId="165" fontId="0" fillId="10" borderId="5" xfId="1" applyNumberFormat="1" applyFont="1" applyFill="1" applyBorder="1" applyAlignment="1">
      <alignment horizontal="center"/>
    </xf>
    <xf numFmtId="165" fontId="2" fillId="10" borderId="5" xfId="1" applyNumberFormat="1" applyFont="1" applyFill="1" applyBorder="1"/>
    <xf numFmtId="165" fontId="2" fillId="10" borderId="19" xfId="1" applyNumberFormat="1" applyFont="1" applyFill="1" applyBorder="1"/>
    <xf numFmtId="169" fontId="22" fillId="0" borderId="0" xfId="1" applyNumberFormat="1" applyFont="1" applyFill="1" applyBorder="1"/>
    <xf numFmtId="3" fontId="0" fillId="0" borderId="0" xfId="0" applyNumberFormat="1" applyFont="1" applyFill="1" applyBorder="1"/>
    <xf numFmtId="167" fontId="22" fillId="0" borderId="0" xfId="2" applyNumberFormat="1" applyFont="1" applyFill="1" applyBorder="1"/>
    <xf numFmtId="3" fontId="2" fillId="10" borderId="5" xfId="0" applyNumberFormat="1" applyFont="1" applyFill="1" applyBorder="1"/>
    <xf numFmtId="165" fontId="4" fillId="10" borderId="5" xfId="1" applyNumberFormat="1" applyFont="1" applyFill="1" applyBorder="1"/>
    <xf numFmtId="165" fontId="3" fillId="10" borderId="5" xfId="1" applyNumberFormat="1" applyFont="1" applyFill="1" applyBorder="1"/>
    <xf numFmtId="10" fontId="3" fillId="0" borderId="6" xfId="2" applyNumberFormat="1" applyFont="1" applyFill="1" applyBorder="1"/>
    <xf numFmtId="165" fontId="2" fillId="0" borderId="5" xfId="0" applyNumberFormat="1" applyFont="1" applyFill="1" applyBorder="1" applyAlignment="1"/>
    <xf numFmtId="9" fontId="2" fillId="10" borderId="5" xfId="2" applyNumberFormat="1" applyFont="1" applyFill="1" applyBorder="1"/>
    <xf numFmtId="9" fontId="1" fillId="0" borderId="5" xfId="2" applyNumberFormat="1" applyFont="1" applyFill="1" applyBorder="1"/>
    <xf numFmtId="3" fontId="2" fillId="10" borderId="11" xfId="0" applyNumberFormat="1" applyFont="1" applyFill="1" applyBorder="1"/>
    <xf numFmtId="165" fontId="2" fillId="10" borderId="18" xfId="1" applyNumberFormat="1" applyFont="1" applyFill="1" applyBorder="1"/>
    <xf numFmtId="165" fontId="2" fillId="10" borderId="8" xfId="1" applyNumberFormat="1" applyFont="1" applyFill="1" applyBorder="1"/>
    <xf numFmtId="165" fontId="2" fillId="10" borderId="5" xfId="1" applyNumberFormat="1" applyFont="1" applyFill="1" applyBorder="1" applyAlignment="1">
      <alignment horizontal="left" vertical="center" wrapText="1"/>
    </xf>
    <xf numFmtId="165" fontId="0" fillId="10" borderId="5" xfId="1" applyNumberFormat="1" applyFont="1" applyFill="1" applyBorder="1" applyAlignment="1">
      <alignment vertical="center" wrapText="1"/>
    </xf>
    <xf numFmtId="165" fontId="2" fillId="10" borderId="5" xfId="0" applyNumberFormat="1" applyFont="1" applyFill="1" applyBorder="1" applyAlignment="1">
      <alignment horizontal="center" vertical="center" wrapText="1"/>
    </xf>
    <xf numFmtId="165" fontId="2" fillId="10" borderId="5" xfId="1" applyNumberFormat="1" applyFont="1" applyFill="1" applyBorder="1" applyAlignment="1">
      <alignment vertical="center" wrapText="1"/>
    </xf>
    <xf numFmtId="165" fontId="2" fillId="10" borderId="5" xfId="0" applyNumberFormat="1" applyFont="1" applyFill="1" applyBorder="1"/>
    <xf numFmtId="3" fontId="34" fillId="0" borderId="5" xfId="3" applyNumberFormat="1" applyFont="1" applyFill="1" applyBorder="1"/>
    <xf numFmtId="0" fontId="34" fillId="0" borderId="0" xfId="4" applyFont="1"/>
    <xf numFmtId="0" fontId="0" fillId="0" borderId="5" xfId="0" applyFont="1" applyFill="1" applyBorder="1" applyAlignment="1">
      <alignment horizontal="right" vertical="center"/>
    </xf>
    <xf numFmtId="0" fontId="0" fillId="0" borderId="5" xfId="0" applyFill="1" applyBorder="1"/>
    <xf numFmtId="165" fontId="0" fillId="9" borderId="5" xfId="1" applyNumberFormat="1" applyFont="1" applyFill="1" applyBorder="1"/>
    <xf numFmtId="0" fontId="0" fillId="2" borderId="4" xfId="0" applyFont="1" applyFill="1" applyBorder="1" applyAlignment="1">
      <alignment wrapText="1"/>
    </xf>
    <xf numFmtId="165" fontId="0" fillId="10" borderId="11" xfId="1" applyNumberFormat="1" applyFont="1" applyFill="1" applyBorder="1"/>
    <xf numFmtId="165" fontId="3" fillId="10" borderId="11" xfId="1" applyNumberFormat="1" applyFont="1" applyFill="1" applyBorder="1"/>
    <xf numFmtId="165" fontId="4" fillId="10" borderId="5" xfId="0" applyNumberFormat="1" applyFont="1" applyFill="1" applyBorder="1"/>
    <xf numFmtId="165" fontId="3" fillId="10" borderId="5" xfId="1" applyNumberFormat="1" applyFont="1" applyFill="1" applyBorder="1" applyAlignment="1">
      <alignment horizontal="left" vertical="center" wrapText="1"/>
    </xf>
    <xf numFmtId="165" fontId="3" fillId="10" borderId="5" xfId="1" applyNumberFormat="1" applyFont="1" applyFill="1" applyBorder="1" applyAlignment="1">
      <alignment horizontal="center" vertical="center" wrapText="1"/>
    </xf>
    <xf numFmtId="165" fontId="5" fillId="10" borderId="5" xfId="1" applyNumberFormat="1" applyFont="1" applyFill="1" applyBorder="1"/>
    <xf numFmtId="165" fontId="4" fillId="10" borderId="8" xfId="1" applyNumberFormat="1" applyFont="1" applyFill="1" applyBorder="1"/>
    <xf numFmtId="165" fontId="4" fillId="10" borderId="11" xfId="0" applyNumberFormat="1" applyFont="1" applyFill="1" applyBorder="1"/>
    <xf numFmtId="0" fontId="13" fillId="0" borderId="5" xfId="4" applyBorder="1"/>
    <xf numFmtId="0" fontId="10" fillId="0" borderId="23" xfId="3" applyFill="1" applyBorder="1"/>
    <xf numFmtId="0" fontId="13" fillId="0" borderId="27" xfId="3" applyFont="1" applyBorder="1"/>
    <xf numFmtId="3" fontId="21" fillId="0" borderId="23" xfId="3" applyNumberFormat="1" applyFont="1" applyBorder="1"/>
    <xf numFmtId="165" fontId="10" fillId="0" borderId="34" xfId="1" applyNumberFormat="1" applyFont="1" applyBorder="1"/>
    <xf numFmtId="165" fontId="13" fillId="0" borderId="34" xfId="1" applyNumberFormat="1" applyFont="1" applyBorder="1"/>
    <xf numFmtId="0" fontId="13" fillId="0" borderId="29" xfId="3" applyFont="1" applyFill="1" applyBorder="1"/>
    <xf numFmtId="0" fontId="10" fillId="0" borderId="29" xfId="3" applyFill="1" applyBorder="1"/>
    <xf numFmtId="0" fontId="13" fillId="0" borderId="5" xfId="3" applyFont="1" applyBorder="1"/>
    <xf numFmtId="0" fontId="10" fillId="0" borderId="5" xfId="3" applyBorder="1"/>
    <xf numFmtId="0" fontId="29" fillId="0" borderId="5" xfId="3" applyFont="1" applyFill="1" applyBorder="1"/>
    <xf numFmtId="10" fontId="4" fillId="0" borderId="0" xfId="2" applyNumberFormat="1" applyFont="1" applyFill="1"/>
    <xf numFmtId="0" fontId="19" fillId="0" borderId="0" xfId="0" applyFont="1" applyFill="1" applyBorder="1" applyAlignment="1">
      <alignment vertical="top"/>
    </xf>
    <xf numFmtId="165" fontId="19" fillId="0" borderId="0" xfId="1" applyNumberFormat="1" applyFont="1" applyFill="1" applyBorder="1"/>
    <xf numFmtId="0" fontId="0" fillId="0" borderId="0" xfId="0" applyBorder="1"/>
    <xf numFmtId="0" fontId="0" fillId="13" borderId="5" xfId="0" applyFont="1" applyFill="1" applyBorder="1"/>
    <xf numFmtId="0" fontId="0" fillId="13" borderId="4" xfId="0" applyFont="1" applyFill="1" applyBorder="1"/>
    <xf numFmtId="0" fontId="16" fillId="4" borderId="5" xfId="0" applyFont="1" applyFill="1" applyBorder="1"/>
    <xf numFmtId="165" fontId="16" fillId="4" borderId="5" xfId="1" applyNumberFormat="1" applyFont="1" applyFill="1" applyBorder="1"/>
    <xf numFmtId="167" fontId="16" fillId="4" borderId="5" xfId="2" applyNumberFormat="1" applyFont="1" applyFill="1" applyBorder="1"/>
    <xf numFmtId="165" fontId="16" fillId="4" borderId="26" xfId="1" applyNumberFormat="1" applyFont="1" applyFill="1" applyBorder="1" applyAlignment="1">
      <alignment horizontal="center" vertical="center" wrapText="1"/>
    </xf>
    <xf numFmtId="0" fontId="16" fillId="14" borderId="5" xfId="0" applyFont="1" applyFill="1" applyBorder="1"/>
    <xf numFmtId="165" fontId="16" fillId="14" borderId="5" xfId="1" applyNumberFormat="1" applyFont="1" applyFill="1" applyBorder="1"/>
    <xf numFmtId="167" fontId="16" fillId="14" borderId="5" xfId="2" applyNumberFormat="1" applyFont="1" applyFill="1" applyBorder="1"/>
    <xf numFmtId="165" fontId="16" fillId="4" borderId="5" xfId="1" applyNumberFormat="1" applyFont="1" applyFill="1" applyBorder="1" applyAlignment="1">
      <alignment horizontal="center" vertical="center" wrapText="1"/>
    </xf>
    <xf numFmtId="165" fontId="16" fillId="4" borderId="5" xfId="1" applyNumberFormat="1" applyFont="1" applyFill="1" applyBorder="1" applyAlignment="1">
      <alignment horizontal="center" wrapText="1"/>
    </xf>
    <xf numFmtId="0" fontId="20" fillId="4" borderId="5" xfId="0" applyFont="1" applyFill="1" applyBorder="1"/>
    <xf numFmtId="0" fontId="19" fillId="4" borderId="5" xfId="0" applyFont="1" applyFill="1" applyBorder="1"/>
    <xf numFmtId="165" fontId="20" fillId="4" borderId="5" xfId="0" applyNumberFormat="1" applyFont="1" applyFill="1" applyBorder="1"/>
    <xf numFmtId="165" fontId="20" fillId="4" borderId="5" xfId="1" applyNumberFormat="1" applyFont="1" applyFill="1" applyBorder="1"/>
    <xf numFmtId="0" fontId="20" fillId="4" borderId="5" xfId="0" applyFont="1" applyFill="1" applyBorder="1" applyAlignment="1">
      <alignment vertical="top"/>
    </xf>
    <xf numFmtId="0" fontId="19" fillId="4" borderId="5" xfId="0" applyFont="1" applyFill="1" applyBorder="1" applyAlignment="1">
      <alignment vertical="top"/>
    </xf>
    <xf numFmtId="0" fontId="0" fillId="4" borderId="5" xfId="0" applyFill="1" applyBorder="1"/>
    <xf numFmtId="10" fontId="20" fillId="4" borderId="5" xfId="2" applyNumberFormat="1" applyFont="1" applyFill="1" applyBorder="1" applyAlignment="1">
      <alignment horizontal="center"/>
    </xf>
    <xf numFmtId="0" fontId="20" fillId="14" borderId="5" xfId="0" applyFont="1" applyFill="1" applyBorder="1" applyAlignment="1">
      <alignment horizontal="center"/>
    </xf>
    <xf numFmtId="167" fontId="4" fillId="0" borderId="6" xfId="2" applyNumberFormat="1" applyFont="1" applyFill="1" applyBorder="1"/>
    <xf numFmtId="167" fontId="4" fillId="0" borderId="9" xfId="2" applyNumberFormat="1" applyFont="1" applyFill="1" applyBorder="1"/>
    <xf numFmtId="165" fontId="16" fillId="5" borderId="5" xfId="1" applyNumberFormat="1" applyFont="1" applyFill="1" applyBorder="1"/>
    <xf numFmtId="167" fontId="16" fillId="5" borderId="5" xfId="2" applyNumberFormat="1" applyFont="1" applyFill="1" applyBorder="1"/>
    <xf numFmtId="0" fontId="35" fillId="5" borderId="5" xfId="0" applyFont="1" applyFill="1" applyBorder="1"/>
    <xf numFmtId="3" fontId="19" fillId="0" borderId="5" xfId="0" applyNumberFormat="1" applyFont="1" applyBorder="1"/>
    <xf numFmtId="3" fontId="0" fillId="4" borderId="5" xfId="0" applyNumberFormat="1" applyFill="1" applyBorder="1"/>
    <xf numFmtId="41" fontId="0" fillId="0" borderId="0" xfId="5" applyFont="1" applyFill="1"/>
    <xf numFmtId="169" fontId="0" fillId="0" borderId="0" xfId="0" applyNumberFormat="1" applyFont="1" applyFill="1"/>
    <xf numFmtId="170" fontId="0" fillId="0" borderId="0" xfId="2" applyNumberFormat="1" applyFont="1" applyFill="1"/>
    <xf numFmtId="0" fontId="24" fillId="9" borderId="0" xfId="0" applyFont="1" applyFill="1" applyBorder="1" applyAlignment="1">
      <alignment horizontal="right"/>
    </xf>
    <xf numFmtId="0" fontId="22" fillId="9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1" fontId="0" fillId="0" borderId="5" xfId="5" applyFont="1" applyFill="1" applyBorder="1"/>
    <xf numFmtId="9" fontId="0" fillId="0" borderId="0" xfId="0" applyNumberFormat="1" applyFont="1" applyFill="1"/>
    <xf numFmtId="165" fontId="0" fillId="15" borderId="19" xfId="1" applyNumberFormat="1" applyFont="1" applyFill="1" applyBorder="1"/>
    <xf numFmtId="165" fontId="0" fillId="15" borderId="5" xfId="0" applyNumberFormat="1" applyFont="1" applyFill="1" applyBorder="1" applyAlignment="1">
      <alignment horizontal="center" vertical="center" wrapText="1"/>
    </xf>
    <xf numFmtId="165" fontId="0" fillId="15" borderId="5" xfId="1" applyNumberFormat="1" applyFont="1" applyFill="1" applyBorder="1"/>
    <xf numFmtId="165" fontId="2" fillId="15" borderId="5" xfId="1" applyNumberFormat="1" applyFont="1" applyFill="1" applyBorder="1"/>
    <xf numFmtId="165" fontId="0" fillId="15" borderId="5" xfId="0" applyNumberFormat="1" applyFont="1" applyFill="1" applyBorder="1"/>
    <xf numFmtId="165" fontId="0" fillId="15" borderId="11" xfId="0" applyNumberFormat="1" applyFont="1" applyFill="1" applyBorder="1"/>
    <xf numFmtId="165" fontId="2" fillId="15" borderId="5" xfId="0" applyNumberFormat="1" applyFont="1" applyFill="1" applyBorder="1" applyAlignment="1">
      <alignment horizontal="center" vertical="center" wrapText="1"/>
    </xf>
    <xf numFmtId="165" fontId="2" fillId="15" borderId="5" xfId="0" applyNumberFormat="1" applyFont="1" applyFill="1" applyBorder="1"/>
    <xf numFmtId="165" fontId="4" fillId="15" borderId="5" xfId="0" applyNumberFormat="1" applyFont="1" applyFill="1" applyBorder="1" applyAlignment="1">
      <alignment horizontal="center" vertical="center" wrapText="1"/>
    </xf>
    <xf numFmtId="165" fontId="3" fillId="15" borderId="5" xfId="0" applyNumberFormat="1" applyFont="1" applyFill="1" applyBorder="1" applyAlignment="1">
      <alignment horizontal="center" vertical="center" wrapText="1"/>
    </xf>
    <xf numFmtId="165" fontId="4" fillId="15" borderId="5" xfId="0" applyNumberFormat="1" applyFont="1" applyFill="1" applyBorder="1"/>
    <xf numFmtId="165" fontId="3" fillId="15" borderId="5" xfId="0" applyNumberFormat="1" applyFont="1" applyFill="1" applyBorder="1"/>
    <xf numFmtId="165" fontId="4" fillId="15" borderId="5" xfId="1" applyNumberFormat="1" applyFont="1" applyFill="1" applyBorder="1"/>
    <xf numFmtId="165" fontId="3" fillId="15" borderId="5" xfId="1" applyNumberFormat="1" applyFont="1" applyFill="1" applyBorder="1" applyAlignment="1">
      <alignment horizontal="left" vertical="center" wrapText="1"/>
    </xf>
    <xf numFmtId="165" fontId="4" fillId="15" borderId="5" xfId="1" applyNumberFormat="1" applyFont="1" applyFill="1" applyBorder="1" applyAlignment="1">
      <alignment horizontal="left" vertical="center" wrapText="1"/>
    </xf>
    <xf numFmtId="165" fontId="3" fillId="15" borderId="5" xfId="1" applyNumberFormat="1" applyFont="1" applyFill="1" applyBorder="1"/>
    <xf numFmtId="165" fontId="4" fillId="15" borderId="11" xfId="0" applyNumberFormat="1" applyFont="1" applyFill="1" applyBorder="1"/>
    <xf numFmtId="165" fontId="5" fillId="15" borderId="5" xfId="1" applyNumberFormat="1" applyFont="1" applyFill="1" applyBorder="1"/>
    <xf numFmtId="3" fontId="24" fillId="2" borderId="5" xfId="1" applyNumberFormat="1" applyFont="1" applyFill="1" applyBorder="1"/>
    <xf numFmtId="3" fontId="25" fillId="2" borderId="5" xfId="0" applyNumberFormat="1" applyFont="1" applyFill="1" applyBorder="1"/>
    <xf numFmtId="165" fontId="4" fillId="2" borderId="5" xfId="1" applyNumberFormat="1" applyFont="1" applyFill="1" applyBorder="1"/>
    <xf numFmtId="41" fontId="3" fillId="0" borderId="5" xfId="5" applyFont="1" applyFill="1" applyBorder="1"/>
    <xf numFmtId="41" fontId="3" fillId="0" borderId="26" xfId="5" applyFont="1" applyFill="1" applyBorder="1"/>
    <xf numFmtId="171" fontId="36" fillId="16" borderId="5" xfId="0" applyNumberFormat="1" applyFont="1" applyFill="1" applyBorder="1" applyAlignment="1">
      <alignment horizontal="right"/>
    </xf>
    <xf numFmtId="0" fontId="0" fillId="0" borderId="33" xfId="0" applyFont="1" applyFill="1" applyBorder="1" applyAlignment="1">
      <alignment wrapText="1"/>
    </xf>
    <xf numFmtId="0" fontId="15" fillId="0" borderId="35" xfId="0" applyFont="1" applyBorder="1"/>
    <xf numFmtId="165" fontId="15" fillId="0" borderId="36" xfId="1" applyNumberFormat="1" applyFont="1" applyBorder="1"/>
    <xf numFmtId="165" fontId="0" fillId="13" borderId="5" xfId="1" applyNumberFormat="1" applyFont="1" applyFill="1" applyBorder="1"/>
    <xf numFmtId="3" fontId="32" fillId="9" borderId="5" xfId="3" applyNumberFormat="1" applyFont="1" applyFill="1" applyBorder="1"/>
    <xf numFmtId="3" fontId="13" fillId="0" borderId="0" xfId="4" applyNumberFormat="1"/>
    <xf numFmtId="9" fontId="13" fillId="0" borderId="0" xfId="2" applyFont="1"/>
    <xf numFmtId="3" fontId="32" fillId="0" borderId="5" xfId="3" applyNumberFormat="1" applyFont="1" applyFill="1" applyBorder="1"/>
    <xf numFmtId="165" fontId="0" fillId="9" borderId="5" xfId="0" applyNumberFormat="1" applyFont="1" applyFill="1" applyBorder="1" applyAlignment="1">
      <alignment horizontal="center" vertical="center" wrapText="1"/>
    </xf>
    <xf numFmtId="165" fontId="0" fillId="2" borderId="5" xfId="1" applyNumberFormat="1" applyFont="1" applyFill="1" applyBorder="1"/>
    <xf numFmtId="3" fontId="10" fillId="15" borderId="5" xfId="3" applyNumberFormat="1" applyFill="1" applyBorder="1"/>
    <xf numFmtId="165" fontId="0" fillId="5" borderId="5" xfId="1" applyNumberFormat="1" applyFont="1" applyFill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32" xfId="0" applyFont="1" applyFill="1" applyBorder="1" applyAlignment="1">
      <alignment horizontal="center"/>
    </xf>
    <xf numFmtId="0" fontId="2" fillId="11" borderId="33" xfId="0" applyFont="1" applyFill="1" applyBorder="1" applyAlignment="1">
      <alignment horizontal="center"/>
    </xf>
    <xf numFmtId="0" fontId="37" fillId="9" borderId="0" xfId="0" applyFont="1" applyFill="1"/>
    <xf numFmtId="165" fontId="37" fillId="9" borderId="0" xfId="0" applyNumberFormat="1" applyFont="1" applyFill="1"/>
    <xf numFmtId="2" fontId="37" fillId="9" borderId="17" xfId="0" applyNumberFormat="1" applyFont="1" applyFill="1" applyBorder="1" applyAlignment="1">
      <alignment horizontal="center" vertical="center" wrapText="1"/>
    </xf>
    <xf numFmtId="165" fontId="37" fillId="9" borderId="5" xfId="0" applyNumberFormat="1" applyFont="1" applyFill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Millares" xfId="1" builtinId="3"/>
    <cellStyle name="Millares [0]" xfId="5" builtinId="6"/>
    <cellStyle name="Normal" xfId="0" builtinId="0"/>
    <cellStyle name="Normal 2" xfId="3" xr:uid="{00000000-0005-0000-0000-000004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>
                <a:latin typeface="Century Gothic" pitchFamily="34" charset="0"/>
              </a:rPr>
              <a:t>PARTICIPACIÓN DE INGRESOS 2018</a:t>
            </a:r>
          </a:p>
          <a:p>
            <a:pPr>
              <a:defRPr sz="1400"/>
            </a:pPr>
            <a:r>
              <a:rPr lang="es-CO" sz="1400">
                <a:latin typeface="Century Gothic" pitchFamily="34" charset="0"/>
              </a:rPr>
              <a:t> 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64-46C6-8FA9-FD9D105AF9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64-46C6-8FA9-FD9D105AF9FD}"/>
              </c:ext>
            </c:extLst>
          </c:dPt>
          <c:dLbls>
            <c:dLbl>
              <c:idx val="0"/>
              <c:layout>
                <c:manualLayout>
                  <c:x val="0.150561898512686"/>
                  <c:y val="-5.86911506910344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PUBLICO
87%</a:t>
                    </a:r>
                  </a:p>
                  <a:p>
                    <a:r>
                      <a:rPr lang="en-US" sz="900" b="1">
                        <a:latin typeface="Century Gothic" pitchFamily="34" charset="0"/>
                      </a:rPr>
                      <a:t>$2.748.342.343</a:t>
                    </a:r>
                    <a:endParaRPr lang="en-US" sz="900" b="1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064-46C6-8FA9-FD9D105AF9FD}"/>
                </c:ext>
              </c:extLst>
            </c:dLbl>
            <c:dLbl>
              <c:idx val="1"/>
              <c:layout>
                <c:manualLayout>
                  <c:x val="-0.13519838145231847"/>
                  <c:y val="0.1181554389034704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PRIVADO
13%</a:t>
                    </a:r>
                  </a:p>
                  <a:p>
                    <a:r>
                      <a:rPr lang="en-US" b="1">
                        <a:latin typeface="Century Gothic" pitchFamily="34" charset="0"/>
                      </a:rPr>
                      <a:t>$428.679.348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064-46C6-8FA9-FD9D105AF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[3]COMITE!$M$4:$M$5</c:f>
              <c:strCache>
                <c:ptCount val="2"/>
                <c:pt idx="0">
                  <c:v>PUBLICO</c:v>
                </c:pt>
                <c:pt idx="1">
                  <c:v>PRIVADO</c:v>
                </c:pt>
              </c:strCache>
            </c:strRef>
          </c:cat>
          <c:val>
            <c:numRef>
              <c:f>[3]COMITE!$N$4:$N$5</c:f>
              <c:numCache>
                <c:formatCode>General</c:formatCode>
                <c:ptCount val="2"/>
                <c:pt idx="0">
                  <c:v>5019120345</c:v>
                </c:pt>
                <c:pt idx="1">
                  <c:v>544185677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4-46C6-8FA9-FD9D105AF9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16</xdr:col>
      <xdr:colOff>314325</xdr:colOff>
      <xdr:row>19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&#243;n/3D%20Objects/Before-Daf/DIRADMIN/PRESUPUESTO/2018/PRESUPUESTO%20NOMINA%202018%205.5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IRADMIN/PRESUPUESTO/2017/PRESUPUESTO%20NOMINA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esktop/CAMARA/EJECUCION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 NOMINA 5,5% PUBLICA"/>
      <sheetName val="PROYECC NOMINA 5,5% PRIVADA"/>
      <sheetName val="REGISTROS PUBLICOS"/>
      <sheetName val="PROMOCION Y DESARROLLO"/>
      <sheetName val="GESTION ESTRATEGICA"/>
      <sheetName val="GESTION ADMINSITRATIVA"/>
      <sheetName val="RELACIONES COMERCI"/>
      <sheetName val="COMPARATIVO"/>
      <sheetName val="COMP DRA"/>
      <sheetName val="PROPUESTA"/>
      <sheetName val="Hoja1"/>
      <sheetName val="Hoja3"/>
    </sheetNames>
    <sheetDataSet>
      <sheetData sheetId="0">
        <row r="56">
          <cell r="D56">
            <v>1672000</v>
          </cell>
          <cell r="E56">
            <v>72848000</v>
          </cell>
          <cell r="H56">
            <v>6210000</v>
          </cell>
          <cell r="I56">
            <v>747000</v>
          </cell>
          <cell r="J56">
            <v>6210000</v>
          </cell>
          <cell r="K56">
            <v>4556000</v>
          </cell>
          <cell r="L56">
            <v>6192000</v>
          </cell>
          <cell r="M56">
            <v>8740000</v>
          </cell>
          <cell r="N56">
            <v>500000</v>
          </cell>
          <cell r="O56">
            <v>2909000</v>
          </cell>
          <cell r="P56">
            <v>2187000</v>
          </cell>
          <cell r="Q56">
            <v>1458000</v>
          </cell>
        </row>
      </sheetData>
      <sheetData sheetId="1">
        <row r="8">
          <cell r="D8">
            <v>88000</v>
          </cell>
          <cell r="E8">
            <v>1055000</v>
          </cell>
          <cell r="G8">
            <v>95000</v>
          </cell>
          <cell r="H8">
            <v>11000</v>
          </cell>
          <cell r="I8">
            <v>95000</v>
          </cell>
          <cell r="J8">
            <v>66000</v>
          </cell>
          <cell r="K8">
            <v>90000</v>
          </cell>
          <cell r="L8">
            <v>127000</v>
          </cell>
          <cell r="M8">
            <v>73000</v>
          </cell>
          <cell r="N8">
            <v>42000</v>
          </cell>
          <cell r="O8">
            <v>32000</v>
          </cell>
          <cell r="P8">
            <v>21000</v>
          </cell>
          <cell r="Q8">
            <v>600000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 NOMINA 7% PUBLICA"/>
      <sheetName val="PROYECC NOMINA 7% PRIVADA"/>
      <sheetName val="REGISTROS PUBLICOS"/>
      <sheetName val="PROMOCION Y DESARROLLO"/>
      <sheetName val="GESTION ESTRATEGICA"/>
      <sheetName val="GESTION ADMINSITRATIVA"/>
      <sheetName val="RELACIONES COMERCI"/>
      <sheetName val="COMPARATIVO"/>
      <sheetName val="COMP DRA"/>
    </sheetNames>
    <sheetDataSet>
      <sheetData sheetId="0">
        <row r="55">
          <cell r="F55">
            <v>0</v>
          </cell>
          <cell r="G5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PUBLICOS"/>
      <sheetName val="GASTOS PRIVADOS"/>
      <sheetName val="INGRESOS PUBLICOS"/>
      <sheetName val="INGRESOS PRIVADOS"/>
      <sheetName val="INVERSION"/>
      <sheetName val="CONSOLIDADO"/>
      <sheetName val="COMITE"/>
      <sheetName val="RESUMEN COMITE"/>
      <sheetName val="EXPOFUTURO"/>
      <sheetName val="EJEC DEPTOS"/>
      <sheetName val="capacitaciones"/>
      <sheetName val="Funcionamiento"/>
      <sheetName val="Centro de Convenciones"/>
      <sheetName val="Registro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M4" t="str">
            <v>PUBLICO</v>
          </cell>
          <cell r="N4">
            <v>5019120345</v>
          </cell>
        </row>
        <row r="5">
          <cell r="M5" t="str">
            <v>PRIVADO</v>
          </cell>
          <cell r="N5">
            <v>544185677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689"/>
  <sheetViews>
    <sheetView zoomScale="80" zoomScaleNormal="80" workbookViewId="0">
      <pane xSplit="2" ySplit="6" topLeftCell="I58" activePane="bottomRight" state="frozen"/>
      <selection pane="topRight" activeCell="C1" sqref="C1"/>
      <selection pane="bottomLeft" activeCell="A9" sqref="A9"/>
      <selection pane="bottomRight" activeCell="O63" sqref="O63:O64"/>
    </sheetView>
  </sheetViews>
  <sheetFormatPr baseColWidth="10" defaultColWidth="11.453125" defaultRowHeight="14.5" x14ac:dyDescent="0.35"/>
  <cols>
    <col min="1" max="1" width="47.7265625" style="40" customWidth="1"/>
    <col min="2" max="2" width="17.1796875" style="39" bestFit="1" customWidth="1"/>
    <col min="3" max="3" width="16.7265625" style="39" customWidth="1"/>
    <col min="4" max="4" width="16.7265625" style="40" customWidth="1"/>
    <col min="5" max="5" width="16.26953125" style="40" customWidth="1"/>
    <col min="6" max="6" width="16.54296875" style="40" customWidth="1"/>
    <col min="7" max="7" width="17.26953125" style="40" customWidth="1"/>
    <col min="8" max="8" width="16.81640625" style="40" customWidth="1"/>
    <col min="9" max="9" width="16.1796875" style="40" customWidth="1"/>
    <col min="10" max="14" width="14.81640625" style="40" customWidth="1"/>
    <col min="15" max="15" width="18" style="40" bestFit="1" customWidth="1"/>
    <col min="16" max="16" width="15.54296875" style="40" customWidth="1"/>
    <col min="17" max="17" width="15.7265625" style="40" bestFit="1" customWidth="1"/>
    <col min="18" max="19" width="16.54296875" style="40" bestFit="1" customWidth="1"/>
    <col min="20" max="16384" width="11.453125" style="40"/>
  </cols>
  <sheetData>
    <row r="1" spans="1:20" x14ac:dyDescent="0.35">
      <c r="A1" s="31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0" x14ac:dyDescent="0.35">
      <c r="A2" s="31" t="s">
        <v>666</v>
      </c>
      <c r="C2" s="77"/>
      <c r="D2" s="77"/>
      <c r="E2" s="77"/>
      <c r="F2" s="77">
        <f>+F8-F51</f>
        <v>140863590.26854667</v>
      </c>
      <c r="G2" s="77">
        <f>+G8-G51</f>
        <v>90790608.779901639</v>
      </c>
      <c r="H2" s="77">
        <f>+C7+D7+E7+F7+G7+H7</f>
        <v>2369877183.0247693</v>
      </c>
      <c r="I2" s="77"/>
      <c r="J2" s="77"/>
      <c r="K2" s="77"/>
      <c r="L2" s="77"/>
      <c r="M2" s="77"/>
      <c r="N2" s="77"/>
      <c r="O2" s="77">
        <f>+O7+'PRIVADO COMPLETO'!O7</f>
        <v>3177021691.7690654</v>
      </c>
    </row>
    <row r="3" spans="1:20" x14ac:dyDescent="0.35">
      <c r="A3" s="31" t="s">
        <v>667</v>
      </c>
      <c r="B3" s="293">
        <v>4.2000000000000003E-2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0" ht="6.75" customHeight="1" thickBot="1" x14ac:dyDescent="0.4"/>
    <row r="5" spans="1:20" s="31" customFormat="1" ht="16.5" thickBot="1" x14ac:dyDescent="0.55000000000000004">
      <c r="A5" s="42"/>
      <c r="B5" s="69" t="s">
        <v>668</v>
      </c>
      <c r="C5" s="69" t="s">
        <v>159</v>
      </c>
      <c r="D5" s="69" t="s">
        <v>160</v>
      </c>
      <c r="E5" s="69" t="s">
        <v>161</v>
      </c>
      <c r="F5" s="69" t="s">
        <v>162</v>
      </c>
      <c r="G5" s="69" t="s">
        <v>163</v>
      </c>
      <c r="H5" s="69" t="s">
        <v>164</v>
      </c>
      <c r="I5" s="69" t="s">
        <v>165</v>
      </c>
      <c r="J5" s="69" t="s">
        <v>166</v>
      </c>
      <c r="K5" s="69" t="s">
        <v>167</v>
      </c>
      <c r="L5" s="69" t="s">
        <v>168</v>
      </c>
      <c r="M5" s="69" t="s">
        <v>169</v>
      </c>
      <c r="N5" s="69" t="s">
        <v>170</v>
      </c>
      <c r="O5" s="69" t="s">
        <v>670</v>
      </c>
      <c r="P5" s="69" t="s">
        <v>671</v>
      </c>
      <c r="R5" s="159"/>
    </row>
    <row r="6" spans="1:20" ht="8.25" customHeight="1" thickBot="1" x14ac:dyDescent="0.4">
      <c r="A6" s="43"/>
    </row>
    <row r="7" spans="1:20" s="31" customFormat="1" x14ac:dyDescent="0.35">
      <c r="A7" s="44" t="s">
        <v>172</v>
      </c>
      <c r="B7" s="314">
        <f t="shared" ref="B7:O7" si="0">+B8+B55</f>
        <v>2468272504.2862959</v>
      </c>
      <c r="C7" s="45">
        <f t="shared" si="0"/>
        <v>224868576.55419263</v>
      </c>
      <c r="D7" s="45">
        <f t="shared" si="0"/>
        <v>317003292.90415126</v>
      </c>
      <c r="E7" s="45">
        <f t="shared" si="0"/>
        <v>1497946901.7005742</v>
      </c>
      <c r="F7" s="45">
        <f t="shared" si="0"/>
        <v>148701379.93254668</v>
      </c>
      <c r="G7" s="45">
        <f t="shared" si="0"/>
        <v>95291450.753901646</v>
      </c>
      <c r="H7" s="45">
        <f t="shared" si="0"/>
        <v>86065581.179403156</v>
      </c>
      <c r="I7" s="45">
        <f t="shared" si="0"/>
        <v>75930503.498511583</v>
      </c>
      <c r="J7" s="45">
        <f t="shared" si="0"/>
        <v>73143259.550551936</v>
      </c>
      <c r="K7" s="45">
        <f t="shared" si="0"/>
        <v>86520214.633715928</v>
      </c>
      <c r="L7" s="45">
        <f t="shared" si="0"/>
        <v>76536384.559256166</v>
      </c>
      <c r="M7" s="45">
        <f t="shared" si="0"/>
        <v>41328946.816905916</v>
      </c>
      <c r="N7" s="45">
        <f t="shared" si="0"/>
        <v>37545851.485354938</v>
      </c>
      <c r="O7" s="313">
        <f t="shared" si="0"/>
        <v>2760882343.5690656</v>
      </c>
      <c r="P7" s="37">
        <f>+(O7-B7)/B7</f>
        <v>0.11854843368170898</v>
      </c>
      <c r="Q7" s="239"/>
      <c r="R7" s="309">
        <v>2017</v>
      </c>
      <c r="S7" s="309">
        <v>2016</v>
      </c>
      <c r="T7" s="188" t="s">
        <v>418</v>
      </c>
    </row>
    <row r="8" spans="1:20" s="31" customFormat="1" x14ac:dyDescent="0.35">
      <c r="A8" s="29" t="s">
        <v>173</v>
      </c>
      <c r="B8" s="300">
        <f>+B9+B13+B18+B30+B32+B37+B39+B44+B49</f>
        <v>2416263519.2862959</v>
      </c>
      <c r="C8" s="30">
        <f>+C9+C13+C18+C30+C32+C37+C39+C44+C51</f>
        <v>224854166.73619264</v>
      </c>
      <c r="D8" s="30">
        <f t="shared" ref="D8:N8" si="1">+D9+D13+D18+D30+D32+D37+D39+D44+D51</f>
        <v>316991736.08215123</v>
      </c>
      <c r="E8" s="30">
        <f t="shared" si="1"/>
        <v>1497903550.3325741</v>
      </c>
      <c r="F8" s="30">
        <f t="shared" si="1"/>
        <v>141908590.26854667</v>
      </c>
      <c r="G8" s="30">
        <f t="shared" si="1"/>
        <v>91835608.779901639</v>
      </c>
      <c r="H8" s="30">
        <f t="shared" si="1"/>
        <v>83310048.649403155</v>
      </c>
      <c r="I8" s="30">
        <f t="shared" si="1"/>
        <v>73593980.008511588</v>
      </c>
      <c r="J8" s="30">
        <f t="shared" si="1"/>
        <v>72008762.252551943</v>
      </c>
      <c r="K8" s="30">
        <f t="shared" si="1"/>
        <v>83356197.263715923</v>
      </c>
      <c r="L8" s="30">
        <f t="shared" si="1"/>
        <v>58186071.647256158</v>
      </c>
      <c r="M8" s="30">
        <f t="shared" si="1"/>
        <v>41290929.446905918</v>
      </c>
      <c r="N8" s="30">
        <f t="shared" si="1"/>
        <v>37507834.11535494</v>
      </c>
      <c r="O8" s="301">
        <f>+O9+O13+O18+O30+O32+O37+O39+O44+O51</f>
        <v>2722747475.5830655</v>
      </c>
      <c r="P8" s="38">
        <f t="shared" ref="P8:P59" si="2">+(O8-B8)/B8</f>
        <v>0.12684210718344882</v>
      </c>
      <c r="R8" s="300">
        <f>+R9+R13+R18+R30+R32+R37+R39+R44+R49</f>
        <v>2416263519.2862959</v>
      </c>
      <c r="S8" s="300">
        <f>+S9+S13+S18+S30+S32+S37+S39+S44+S49</f>
        <v>2197098670</v>
      </c>
      <c r="T8" s="310">
        <f>+(R8-S8)/S8</f>
        <v>9.9751937534191801E-2</v>
      </c>
    </row>
    <row r="9" spans="1:20" s="31" customFormat="1" x14ac:dyDescent="0.35">
      <c r="A9" s="29" t="s">
        <v>174</v>
      </c>
      <c r="B9" s="300">
        <f>SUM(B10:B12)</f>
        <v>217032522.73141426</v>
      </c>
      <c r="C9" s="30">
        <f>SUM(C10:C12)</f>
        <v>30287960</v>
      </c>
      <c r="D9" s="30">
        <f t="shared" ref="D9:O9" si="3">SUM(D10:D12)</f>
        <v>22938100</v>
      </c>
      <c r="E9" s="30">
        <f t="shared" si="3"/>
        <v>28194179.999999996</v>
      </c>
      <c r="F9" s="30">
        <f t="shared" si="3"/>
        <v>16403700</v>
      </c>
      <c r="G9" s="30">
        <f t="shared" si="3"/>
        <v>17359600</v>
      </c>
      <c r="H9" s="30">
        <f t="shared" si="3"/>
        <v>16482700</v>
      </c>
      <c r="I9" s="30">
        <f t="shared" si="3"/>
        <v>23609420</v>
      </c>
      <c r="J9" s="30">
        <f t="shared" si="3"/>
        <v>17859660</v>
      </c>
      <c r="K9" s="30">
        <f t="shared" si="3"/>
        <v>18215240</v>
      </c>
      <c r="L9" s="30">
        <f t="shared" si="3"/>
        <v>15708360</v>
      </c>
      <c r="M9" s="30">
        <f t="shared" si="3"/>
        <v>7183658.519478444</v>
      </c>
      <c r="N9" s="30">
        <f t="shared" si="3"/>
        <v>6269914.6665641023</v>
      </c>
      <c r="O9" s="301">
        <f t="shared" si="3"/>
        <v>220512493.18604255</v>
      </c>
      <c r="P9" s="38">
        <f t="shared" si="2"/>
        <v>1.6034327071500157E-2</v>
      </c>
      <c r="R9" s="300">
        <f>SUM(R10:R12)</f>
        <v>217032522.73141426</v>
      </c>
      <c r="S9" s="300">
        <f>SUM(S10:S12)</f>
        <v>242374000</v>
      </c>
      <c r="T9" s="310">
        <f t="shared" ref="T9:T48" si="4">+(R9-S9)/S9</f>
        <v>-0.1045552628111338</v>
      </c>
    </row>
    <row r="10" spans="1:20" x14ac:dyDescent="0.35">
      <c r="A10" s="154" t="s">
        <v>175</v>
      </c>
      <c r="B10" s="296">
        <f>+O455</f>
        <v>141293865.92471522</v>
      </c>
      <c r="C10" s="48">
        <f>+$Q$455*C460</f>
        <v>20342879.999999996</v>
      </c>
      <c r="D10" s="48">
        <f t="shared" ref="D10:N10" si="5">+$Q$455*D460</f>
        <v>14678820</v>
      </c>
      <c r="E10" s="48">
        <f t="shared" si="5"/>
        <v>17808179.999999996</v>
      </c>
      <c r="F10" s="48">
        <f t="shared" si="5"/>
        <v>10500899.999999998</v>
      </c>
      <c r="G10" s="48">
        <f t="shared" si="5"/>
        <v>10333619.999999998</v>
      </c>
      <c r="H10" s="48">
        <f t="shared" si="5"/>
        <v>10668179.999999998</v>
      </c>
      <c r="I10" s="48">
        <f t="shared" si="5"/>
        <v>14483999.999999998</v>
      </c>
      <c r="J10" s="48">
        <f t="shared" si="5"/>
        <v>11101679.999999998</v>
      </c>
      <c r="K10" s="48">
        <f t="shared" si="5"/>
        <v>12142079.999999998</v>
      </c>
      <c r="L10" s="48">
        <f t="shared" si="5"/>
        <v>13305899.999999998</v>
      </c>
      <c r="M10" s="48">
        <f t="shared" si="5"/>
        <v>4674056.73811258</v>
      </c>
      <c r="N10" s="48">
        <f t="shared" si="5"/>
        <v>4079446.5050969366</v>
      </c>
      <c r="O10" s="297">
        <f>SUM(C10:N10)</f>
        <v>144119743.24320951</v>
      </c>
      <c r="P10" s="49">
        <f t="shared" si="2"/>
        <v>1.99999999999999E-2</v>
      </c>
      <c r="R10" s="47">
        <f>+B10</f>
        <v>141293865.92471522</v>
      </c>
      <c r="S10" s="47">
        <v>151352000</v>
      </c>
      <c r="T10" s="311">
        <f t="shared" si="4"/>
        <v>-6.6455243903514843E-2</v>
      </c>
    </row>
    <row r="11" spans="1:20" x14ac:dyDescent="0.35">
      <c r="A11" s="154" t="s">
        <v>176</v>
      </c>
      <c r="B11" s="296">
        <f>+O456</f>
        <v>118772656.80669904</v>
      </c>
      <c r="C11" s="48">
        <f>+$Q$456*C461</f>
        <v>16040520.000000002</v>
      </c>
      <c r="D11" s="48">
        <f t="shared" ref="D11:N11" si="6">+$Q$456*D461</f>
        <v>12060480</v>
      </c>
      <c r="E11" s="48">
        <f t="shared" si="6"/>
        <v>13549680</v>
      </c>
      <c r="F11" s="48">
        <f t="shared" si="6"/>
        <v>9241200</v>
      </c>
      <c r="G11" s="48">
        <f t="shared" si="6"/>
        <v>9931740</v>
      </c>
      <c r="H11" s="48">
        <f t="shared" si="6"/>
        <v>9606360</v>
      </c>
      <c r="I11" s="48">
        <f t="shared" si="6"/>
        <v>11592300</v>
      </c>
      <c r="J11" s="48">
        <f t="shared" si="6"/>
        <v>9597180</v>
      </c>
      <c r="K11" s="48">
        <f t="shared" si="6"/>
        <v>10842600</v>
      </c>
      <c r="L11" s="48">
        <f t="shared" si="6"/>
        <v>9915420.0000000019</v>
      </c>
      <c r="M11" s="48">
        <f t="shared" si="6"/>
        <v>4683201.781365864</v>
      </c>
      <c r="N11" s="48">
        <f t="shared" si="6"/>
        <v>4087428.1614671657</v>
      </c>
      <c r="O11" s="297">
        <f>SUM(C11:N11)</f>
        <v>121148109.94283304</v>
      </c>
      <c r="P11" s="49">
        <f t="shared" si="2"/>
        <v>2.000000000000015E-2</v>
      </c>
      <c r="R11" s="47">
        <f t="shared" ref="R11:R12" si="7">+B11</f>
        <v>118772656.80669904</v>
      </c>
      <c r="S11" s="47">
        <v>122107000</v>
      </c>
      <c r="T11" s="311">
        <f t="shared" si="4"/>
        <v>-2.7306732564889503E-2</v>
      </c>
    </row>
    <row r="12" spans="1:20" x14ac:dyDescent="0.35">
      <c r="A12" s="154" t="s">
        <v>542</v>
      </c>
      <c r="B12" s="296">
        <f t="shared" ref="B12" si="8">+O457</f>
        <v>-43034000</v>
      </c>
      <c r="C12" s="48">
        <f>+$Q$457*C462</f>
        <v>-6095440</v>
      </c>
      <c r="D12" s="48">
        <f t="shared" ref="D12:N12" si="9">+$Q$457*D462</f>
        <v>-3801200</v>
      </c>
      <c r="E12" s="48">
        <f t="shared" si="9"/>
        <v>-3163680.0000000005</v>
      </c>
      <c r="F12" s="48">
        <f t="shared" si="9"/>
        <v>-3338400</v>
      </c>
      <c r="G12" s="48">
        <f t="shared" si="9"/>
        <v>-2905760</v>
      </c>
      <c r="H12" s="48">
        <f t="shared" si="9"/>
        <v>-3791840</v>
      </c>
      <c r="I12" s="48">
        <f t="shared" si="9"/>
        <v>-2466880</v>
      </c>
      <c r="J12" s="48">
        <f t="shared" si="9"/>
        <v>-2839200</v>
      </c>
      <c r="K12" s="48">
        <f t="shared" si="9"/>
        <v>-4769440</v>
      </c>
      <c r="L12" s="48">
        <f t="shared" si="9"/>
        <v>-7512960</v>
      </c>
      <c r="M12" s="48">
        <f t="shared" si="9"/>
        <v>-2173600</v>
      </c>
      <c r="N12" s="48">
        <f t="shared" si="9"/>
        <v>-1896960</v>
      </c>
      <c r="O12" s="297">
        <f>SUM(C12:N12)</f>
        <v>-44755360</v>
      </c>
      <c r="P12" s="49">
        <f t="shared" si="2"/>
        <v>0.04</v>
      </c>
      <c r="R12" s="47">
        <f t="shared" si="7"/>
        <v>-43034000</v>
      </c>
      <c r="S12" s="47">
        <v>-31085000</v>
      </c>
      <c r="T12" s="311">
        <f t="shared" si="4"/>
        <v>0.38439761943059353</v>
      </c>
    </row>
    <row r="13" spans="1:20" s="31" customFormat="1" x14ac:dyDescent="0.35">
      <c r="A13" s="29" t="s">
        <v>177</v>
      </c>
      <c r="B13" s="300">
        <f>SUM(B14:B17)</f>
        <v>1734264016.7488751</v>
      </c>
      <c r="C13" s="30">
        <f>SUM(C14:C17)</f>
        <v>161266291.38148218</v>
      </c>
      <c r="D13" s="30">
        <f t="shared" ref="D13:F13" si="10">SUM(D14:D17)</f>
        <v>249995437.4355396</v>
      </c>
      <c r="E13" s="30">
        <f t="shared" si="10"/>
        <v>1257628011.8764222</v>
      </c>
      <c r="F13" s="30">
        <f t="shared" si="10"/>
        <v>70956090</v>
      </c>
      <c r="G13" s="30">
        <f t="shared" ref="G13" si="11">SUM(G14:G17)</f>
        <v>47592210</v>
      </c>
      <c r="H13" s="30">
        <f t="shared" ref="H13" si="12">SUM(H14:H17)</f>
        <v>42777280</v>
      </c>
      <c r="I13" s="30">
        <f t="shared" ref="I13" si="13">SUM(I14:I17)</f>
        <v>25572301.306556039</v>
      </c>
      <c r="J13" s="30">
        <f t="shared" ref="J13" si="14">SUM(J14:J17)</f>
        <v>29444410</v>
      </c>
      <c r="K13" s="30">
        <f t="shared" ref="K13" si="15">SUM(K14:K17)</f>
        <v>37014280</v>
      </c>
      <c r="L13" s="30">
        <f t="shared" ref="L13" si="16">SUM(L14:L17)</f>
        <v>21969460</v>
      </c>
      <c r="M13" s="30">
        <f t="shared" ref="M13" si="17">SUM(M14:M17)</f>
        <v>15812874.125186356</v>
      </c>
      <c r="N13" s="30">
        <f t="shared" ref="N13:O13" si="18">SUM(N14:N17)</f>
        <v>16540118.301042654</v>
      </c>
      <c r="O13" s="301">
        <f t="shared" si="18"/>
        <v>1976568764.426229</v>
      </c>
      <c r="P13" s="38">
        <f t="shared" si="2"/>
        <v>0.13971618239049244</v>
      </c>
      <c r="R13" s="300">
        <f>SUM(R14:R17)</f>
        <v>1734264016.7488751</v>
      </c>
      <c r="S13" s="300">
        <f>SUM(S14:S17)</f>
        <v>1528138770</v>
      </c>
      <c r="T13" s="310">
        <f t="shared" si="4"/>
        <v>0.13488647156624076</v>
      </c>
    </row>
    <row r="14" spans="1:20" x14ac:dyDescent="0.35">
      <c r="A14" s="154" t="s">
        <v>178</v>
      </c>
      <c r="B14" s="296">
        <f>+O465-5115050-5769900</f>
        <v>1129854020.1225197</v>
      </c>
      <c r="C14" s="48">
        <f>+$Q$465*C471</f>
        <v>85898079.999999985</v>
      </c>
      <c r="D14" s="48">
        <f t="shared" ref="D14:M14" si="19">+$Q$465*D471</f>
        <v>136196639.99999997</v>
      </c>
      <c r="E14" s="48">
        <f>+$Q$465*E471</f>
        <v>863694030</v>
      </c>
      <c r="F14" s="48">
        <f t="shared" si="19"/>
        <v>47483730</v>
      </c>
      <c r="G14" s="48">
        <f t="shared" si="19"/>
        <v>31820799.999999996</v>
      </c>
      <c r="H14" s="48">
        <f t="shared" si="19"/>
        <v>26208089.999999996</v>
      </c>
      <c r="I14" s="48">
        <f t="shared" si="19"/>
        <v>18196390</v>
      </c>
      <c r="J14" s="48">
        <f t="shared" si="19"/>
        <v>20475600</v>
      </c>
      <c r="K14" s="48">
        <f t="shared" si="19"/>
        <v>24775249.999999996</v>
      </c>
      <c r="L14" s="48">
        <f t="shared" si="19"/>
        <v>14282069.999999998</v>
      </c>
      <c r="M14" s="48">
        <f t="shared" si="19"/>
        <v>8941278.4910279252</v>
      </c>
      <c r="N14" s="48">
        <f>+$Q$465*N471</f>
        <v>11063077.747419387</v>
      </c>
      <c r="O14" s="297">
        <f>SUM(C14:N14)</f>
        <v>1289035036.2384472</v>
      </c>
      <c r="P14" s="49">
        <f t="shared" si="2"/>
        <v>0.14088635636191843</v>
      </c>
      <c r="R14" s="47">
        <f>+B14</f>
        <v>1129854020.1225197</v>
      </c>
      <c r="S14" s="47">
        <v>994410520</v>
      </c>
      <c r="T14" s="311">
        <f t="shared" si="4"/>
        <v>0.13620481420743591</v>
      </c>
    </row>
    <row r="15" spans="1:20" x14ac:dyDescent="0.35">
      <c r="A15" s="154" t="s">
        <v>179</v>
      </c>
      <c r="B15" s="296">
        <f>+O466-3540000</f>
        <v>619748996.62635553</v>
      </c>
      <c r="C15" s="48">
        <f>+$Q$466*C472</f>
        <v>75678360.000000015</v>
      </c>
      <c r="D15" s="48">
        <f t="shared" ref="D15:M15" si="20">+$Q$466*D472</f>
        <v>114559400</v>
      </c>
      <c r="E15" s="48">
        <f>+$Q$466*E472</f>
        <v>407306240</v>
      </c>
      <c r="F15" s="48">
        <f t="shared" si="20"/>
        <v>23472360</v>
      </c>
      <c r="G15" s="48">
        <f t="shared" si="20"/>
        <v>15771410.000000002</v>
      </c>
      <c r="H15" s="48">
        <f t="shared" si="20"/>
        <v>16569190.000000002</v>
      </c>
      <c r="I15" s="48">
        <f t="shared" si="20"/>
        <v>9715740.0000000019</v>
      </c>
      <c r="J15" s="48">
        <f t="shared" si="20"/>
        <v>8968810</v>
      </c>
      <c r="K15" s="48">
        <f t="shared" si="20"/>
        <v>12239030</v>
      </c>
      <c r="L15" s="48">
        <f t="shared" si="20"/>
        <v>7687390.0000000009</v>
      </c>
      <c r="M15" s="48">
        <f t="shared" si="20"/>
        <v>6871595.6341584306</v>
      </c>
      <c r="N15" s="48">
        <f>+$Q$466*N472</f>
        <v>5477040.5536232674</v>
      </c>
      <c r="O15" s="297">
        <f>SUM(C15:N15)</f>
        <v>704316566.18778169</v>
      </c>
      <c r="P15" s="49">
        <f t="shared" si="2"/>
        <v>0.13645454857010708</v>
      </c>
      <c r="R15" s="47">
        <f t="shared" ref="R15:R17" si="21">+B15</f>
        <v>619748996.62635553</v>
      </c>
      <c r="S15" s="47">
        <v>545560400</v>
      </c>
      <c r="T15" s="311">
        <f t="shared" si="4"/>
        <v>0.13598603679144514</v>
      </c>
    </row>
    <row r="16" spans="1:20" x14ac:dyDescent="0.35">
      <c r="A16" s="154" t="s">
        <v>542</v>
      </c>
      <c r="B16" s="296">
        <f>+O467+570000</f>
        <v>-15339000</v>
      </c>
      <c r="C16" s="48">
        <f>+$Q$467*C473</f>
        <v>-310148.61851782008</v>
      </c>
      <c r="D16" s="48">
        <f t="shared" ref="D16:M16" si="22">+$Q$467*D473</f>
        <v>-760602.56446036836</v>
      </c>
      <c r="E16" s="48">
        <f>+$Q$467*E473</f>
        <v>-13372258.12357785</v>
      </c>
      <c r="F16" s="48">
        <f t="shared" si="22"/>
        <v>0</v>
      </c>
      <c r="G16" s="48">
        <f t="shared" si="22"/>
        <v>0</v>
      </c>
      <c r="H16" s="48">
        <f t="shared" si="22"/>
        <v>0</v>
      </c>
      <c r="I16" s="48">
        <f t="shared" si="22"/>
        <v>-2339828.6934439624</v>
      </c>
      <c r="J16" s="48">
        <f t="shared" si="22"/>
        <v>0</v>
      </c>
      <c r="K16" s="48">
        <f t="shared" si="22"/>
        <v>0</v>
      </c>
      <c r="L16" s="48">
        <f t="shared" si="22"/>
        <v>0</v>
      </c>
      <c r="M16" s="48">
        <f t="shared" si="22"/>
        <v>0</v>
      </c>
      <c r="N16" s="48">
        <f>+$Q$467*N473</f>
        <v>0</v>
      </c>
      <c r="O16" s="297">
        <f>SUM(C16:N16)</f>
        <v>-16782838</v>
      </c>
      <c r="P16" s="49">
        <f t="shared" si="2"/>
        <v>9.4128561183910289E-2</v>
      </c>
      <c r="R16" s="47">
        <f t="shared" si="21"/>
        <v>-15339000</v>
      </c>
      <c r="S16" s="47">
        <v>-11832150</v>
      </c>
      <c r="T16" s="311">
        <f t="shared" si="4"/>
        <v>0.29638315944270482</v>
      </c>
    </row>
    <row r="17" spans="1:20" x14ac:dyDescent="0.35">
      <c r="A17" s="155" t="s">
        <v>265</v>
      </c>
      <c r="B17" s="296">
        <f t="shared" ref="B17" si="23">+O468</f>
        <v>0</v>
      </c>
      <c r="C17" s="48">
        <f>+$Q$468*C474</f>
        <v>0</v>
      </c>
      <c r="D17" s="48">
        <f t="shared" ref="D17:M17" si="24">+$Q$468*D474</f>
        <v>0</v>
      </c>
      <c r="E17" s="48">
        <f t="shared" si="24"/>
        <v>0</v>
      </c>
      <c r="F17" s="48">
        <f t="shared" si="24"/>
        <v>0</v>
      </c>
      <c r="G17" s="48">
        <f t="shared" si="24"/>
        <v>0</v>
      </c>
      <c r="H17" s="48">
        <f t="shared" si="24"/>
        <v>0</v>
      </c>
      <c r="I17" s="48">
        <f t="shared" si="24"/>
        <v>0</v>
      </c>
      <c r="J17" s="48">
        <f t="shared" si="24"/>
        <v>0</v>
      </c>
      <c r="K17" s="48">
        <f t="shared" si="24"/>
        <v>0</v>
      </c>
      <c r="L17" s="48">
        <f t="shared" si="24"/>
        <v>0</v>
      </c>
      <c r="M17" s="48">
        <f t="shared" si="24"/>
        <v>0</v>
      </c>
      <c r="N17" s="48">
        <f>+$Q$468*N474</f>
        <v>0</v>
      </c>
      <c r="O17" s="297">
        <f>SUM(C17:N17)</f>
        <v>0</v>
      </c>
      <c r="P17" s="49">
        <v>0</v>
      </c>
      <c r="R17" s="47">
        <f t="shared" si="21"/>
        <v>0</v>
      </c>
      <c r="S17" s="58"/>
      <c r="T17" s="311">
        <v>0</v>
      </c>
    </row>
    <row r="18" spans="1:20" s="31" customFormat="1" x14ac:dyDescent="0.35">
      <c r="A18" s="29" t="s">
        <v>180</v>
      </c>
      <c r="B18" s="300">
        <f>SUM(B19:B29)</f>
        <v>58635500.501828745</v>
      </c>
      <c r="C18" s="30">
        <f>SUM(C19:C29)</f>
        <v>5612972.3547104644</v>
      </c>
      <c r="D18" s="30">
        <f t="shared" ref="D18:O18" si="25">SUM(D19:D29)</f>
        <v>5919063.6466116235</v>
      </c>
      <c r="E18" s="30">
        <f t="shared" si="25"/>
        <v>15460524.456151856</v>
      </c>
      <c r="F18" s="30">
        <f t="shared" si="25"/>
        <v>3757023.2685466646</v>
      </c>
      <c r="G18" s="30">
        <f t="shared" si="25"/>
        <v>4877642.7799016433</v>
      </c>
      <c r="H18" s="30">
        <f t="shared" si="25"/>
        <v>4579308.6494031614</v>
      </c>
      <c r="I18" s="30">
        <f t="shared" si="25"/>
        <v>4180688.7019555485</v>
      </c>
      <c r="J18" s="30">
        <f t="shared" si="25"/>
        <v>4667809.2525519496</v>
      </c>
      <c r="K18" s="30">
        <f t="shared" si="25"/>
        <v>5590005.2637159135</v>
      </c>
      <c r="L18" s="30">
        <f t="shared" si="25"/>
        <v>3861809.6472561611</v>
      </c>
      <c r="M18" s="30">
        <f t="shared" si="25"/>
        <v>3523723.9856074546</v>
      </c>
      <c r="N18" s="30">
        <f t="shared" si="25"/>
        <v>3074963.5506174671</v>
      </c>
      <c r="O18" s="301">
        <f t="shared" si="25"/>
        <v>65105535.55702991</v>
      </c>
      <c r="P18" s="38">
        <f t="shared" si="2"/>
        <v>0.11034330737910859</v>
      </c>
      <c r="R18" s="300">
        <f>SUM(R19:R29)</f>
        <v>58635500.501828745</v>
      </c>
      <c r="S18" s="300">
        <f>SUM(S19:S29)</f>
        <v>53063300</v>
      </c>
      <c r="T18" s="310">
        <f t="shared" si="4"/>
        <v>0.1050104403953155</v>
      </c>
    </row>
    <row r="19" spans="1:20" s="31" customFormat="1" x14ac:dyDescent="0.35">
      <c r="A19" s="154" t="s">
        <v>240</v>
      </c>
      <c r="B19" s="296">
        <f>+O477</f>
        <v>277267.51971404982</v>
      </c>
      <c r="C19" s="48">
        <f t="shared" ref="C19:N19" si="26">+$Q$477*C490</f>
        <v>0</v>
      </c>
      <c r="D19" s="48">
        <f t="shared" si="26"/>
        <v>0</v>
      </c>
      <c r="E19" s="48">
        <f t="shared" si="26"/>
        <v>0</v>
      </c>
      <c r="F19" s="48">
        <f t="shared" si="26"/>
        <v>0</v>
      </c>
      <c r="G19" s="48">
        <f t="shared" si="26"/>
        <v>0</v>
      </c>
      <c r="H19" s="48">
        <f t="shared" si="26"/>
        <v>0</v>
      </c>
      <c r="I19" s="48">
        <f t="shared" si="26"/>
        <v>0</v>
      </c>
      <c r="J19" s="48">
        <f t="shared" si="26"/>
        <v>0</v>
      </c>
      <c r="K19" s="48">
        <f t="shared" si="26"/>
        <v>0</v>
      </c>
      <c r="L19" s="48">
        <f t="shared" si="26"/>
        <v>43290</v>
      </c>
      <c r="M19" s="48">
        <f t="shared" si="26"/>
        <v>141225.55416060914</v>
      </c>
      <c r="N19" s="48">
        <f t="shared" si="26"/>
        <v>123251.39272198618</v>
      </c>
      <c r="O19" s="297">
        <f>SUM(C19:N19)</f>
        <v>307766.94688259531</v>
      </c>
      <c r="P19" s="49">
        <f t="shared" si="2"/>
        <v>0.11000000000000003</v>
      </c>
      <c r="R19" s="47">
        <f>+B19</f>
        <v>277267.51971404982</v>
      </c>
      <c r="S19" s="47">
        <v>540000</v>
      </c>
      <c r="T19" s="311">
        <f t="shared" si="4"/>
        <v>-0.48654163015916702</v>
      </c>
    </row>
    <row r="20" spans="1:20" x14ac:dyDescent="0.35">
      <c r="A20" s="154" t="s">
        <v>181</v>
      </c>
      <c r="B20" s="296">
        <f t="shared" ref="B20:B29" si="27">+O478</f>
        <v>1736138.9599110275</v>
      </c>
      <c r="C20" s="48">
        <f>+$Q$478*C491</f>
        <v>0</v>
      </c>
      <c r="D20" s="48">
        <f t="shared" ref="D20:N20" si="28">+$Q$478*D491</f>
        <v>86580</v>
      </c>
      <c r="E20" s="48">
        <f t="shared" si="28"/>
        <v>216450</v>
      </c>
      <c r="F20" s="48">
        <f t="shared" si="28"/>
        <v>0</v>
      </c>
      <c r="G20" s="48">
        <f t="shared" si="28"/>
        <v>129869.99999999999</v>
      </c>
      <c r="H20" s="48">
        <f t="shared" si="28"/>
        <v>216450</v>
      </c>
      <c r="I20" s="48">
        <f t="shared" si="28"/>
        <v>43290</v>
      </c>
      <c r="J20" s="48">
        <f t="shared" si="28"/>
        <v>43290</v>
      </c>
      <c r="K20" s="48">
        <f t="shared" si="28"/>
        <v>86580</v>
      </c>
      <c r="L20" s="48">
        <f t="shared" si="28"/>
        <v>346320</v>
      </c>
      <c r="M20" s="48">
        <f t="shared" si="28"/>
        <v>404909.06313173031</v>
      </c>
      <c r="N20" s="48">
        <f t="shared" si="28"/>
        <v>353375.18236951012</v>
      </c>
      <c r="O20" s="297">
        <f t="shared" ref="O20:O31" si="29">SUM(C20:N20)</f>
        <v>1927114.2455012405</v>
      </c>
      <c r="P20" s="49">
        <f t="shared" si="2"/>
        <v>0.11</v>
      </c>
      <c r="R20" s="47">
        <f t="shared" ref="R20:R29" si="30">+B20</f>
        <v>1736138.9599110275</v>
      </c>
      <c r="S20" s="47">
        <v>1692000</v>
      </c>
      <c r="T20" s="311">
        <f t="shared" si="4"/>
        <v>2.6086855739377929E-2</v>
      </c>
    </row>
    <row r="21" spans="1:20" x14ac:dyDescent="0.35">
      <c r="A21" s="154" t="s">
        <v>182</v>
      </c>
      <c r="B21" s="296">
        <f t="shared" si="27"/>
        <v>6284360.7979670195</v>
      </c>
      <c r="C21" s="48">
        <f>+$Q$479*C492</f>
        <v>909089.99999999988</v>
      </c>
      <c r="D21" s="48">
        <f t="shared" ref="D21:N21" si="31">+$Q$479*D492</f>
        <v>519480</v>
      </c>
      <c r="E21" s="48">
        <f t="shared" si="31"/>
        <v>1558439.9999999998</v>
      </c>
      <c r="F21" s="48">
        <f t="shared" si="31"/>
        <v>259740</v>
      </c>
      <c r="G21" s="48">
        <f t="shared" si="31"/>
        <v>649350</v>
      </c>
      <c r="H21" s="48">
        <f t="shared" si="31"/>
        <v>735930</v>
      </c>
      <c r="I21" s="48">
        <f t="shared" si="31"/>
        <v>649350</v>
      </c>
      <c r="J21" s="48">
        <f t="shared" si="31"/>
        <v>389609.99999999994</v>
      </c>
      <c r="K21" s="48">
        <f t="shared" si="31"/>
        <v>865800</v>
      </c>
      <c r="L21" s="48">
        <f t="shared" si="31"/>
        <v>255744</v>
      </c>
      <c r="M21" s="48">
        <f t="shared" si="31"/>
        <v>97775.307921228552</v>
      </c>
      <c r="N21" s="48">
        <f t="shared" si="31"/>
        <v>85331.177822163096</v>
      </c>
      <c r="O21" s="297">
        <f t="shared" si="29"/>
        <v>6975640.4857433923</v>
      </c>
      <c r="P21" s="49">
        <f t="shared" si="2"/>
        <v>0.1100000000000001</v>
      </c>
      <c r="R21" s="47">
        <f t="shared" si="30"/>
        <v>6284360.7979670195</v>
      </c>
      <c r="S21" s="47">
        <v>4200000</v>
      </c>
      <c r="T21" s="311">
        <f t="shared" si="4"/>
        <v>0.496276380468338</v>
      </c>
    </row>
    <row r="22" spans="1:20" x14ac:dyDescent="0.35">
      <c r="A22" s="154" t="s">
        <v>183</v>
      </c>
      <c r="B22" s="296">
        <f t="shared" si="27"/>
        <v>1856000</v>
      </c>
      <c r="C22" s="48">
        <f>+$Q$480*C493</f>
        <v>156288</v>
      </c>
      <c r="D22" s="48">
        <f t="shared" ref="D22:N22" si="32">+$Q$480*D493</f>
        <v>355200</v>
      </c>
      <c r="E22" s="48">
        <f t="shared" si="32"/>
        <v>227328</v>
      </c>
      <c r="F22" s="48">
        <f t="shared" si="32"/>
        <v>198912</v>
      </c>
      <c r="G22" s="48">
        <f t="shared" si="32"/>
        <v>241536</v>
      </c>
      <c r="H22" s="48">
        <f t="shared" si="32"/>
        <v>170496</v>
      </c>
      <c r="I22" s="48">
        <f t="shared" si="32"/>
        <v>298368</v>
      </c>
      <c r="J22" s="48">
        <f t="shared" si="32"/>
        <v>213120</v>
      </c>
      <c r="K22" s="48">
        <f t="shared" si="32"/>
        <v>198912</v>
      </c>
      <c r="L22" s="48">
        <f t="shared" si="32"/>
        <v>0</v>
      </c>
      <c r="M22" s="48">
        <f t="shared" si="32"/>
        <v>0</v>
      </c>
      <c r="N22" s="48">
        <f t="shared" si="32"/>
        <v>0</v>
      </c>
      <c r="O22" s="297">
        <f t="shared" si="29"/>
        <v>2060160</v>
      </c>
      <c r="P22" s="49">
        <f t="shared" si="2"/>
        <v>0.11</v>
      </c>
      <c r="R22" s="47">
        <f t="shared" si="30"/>
        <v>1856000</v>
      </c>
      <c r="S22" s="47">
        <v>1356000</v>
      </c>
      <c r="T22" s="311">
        <f t="shared" si="4"/>
        <v>0.36873156342182889</v>
      </c>
    </row>
    <row r="23" spans="1:20" x14ac:dyDescent="0.35">
      <c r="A23" s="154" t="s">
        <v>184</v>
      </c>
      <c r="B23" s="296">
        <f t="shared" si="27"/>
        <v>0</v>
      </c>
      <c r="C23" s="48">
        <f>+$Q$481*C494</f>
        <v>0</v>
      </c>
      <c r="D23" s="48">
        <f t="shared" ref="D23:N23" si="33">+$Q$481*D494</f>
        <v>0</v>
      </c>
      <c r="E23" s="48">
        <f t="shared" si="33"/>
        <v>0</v>
      </c>
      <c r="F23" s="48">
        <f t="shared" si="33"/>
        <v>0</v>
      </c>
      <c r="G23" s="48">
        <f t="shared" si="33"/>
        <v>0</v>
      </c>
      <c r="H23" s="48">
        <f t="shared" si="33"/>
        <v>0</v>
      </c>
      <c r="I23" s="48">
        <f t="shared" si="33"/>
        <v>0</v>
      </c>
      <c r="J23" s="48">
        <f t="shared" si="33"/>
        <v>0</v>
      </c>
      <c r="K23" s="48">
        <f t="shared" si="33"/>
        <v>0</v>
      </c>
      <c r="L23" s="48">
        <f t="shared" si="33"/>
        <v>0</v>
      </c>
      <c r="M23" s="48">
        <f t="shared" si="33"/>
        <v>0</v>
      </c>
      <c r="N23" s="48">
        <f t="shared" si="33"/>
        <v>0</v>
      </c>
      <c r="O23" s="297">
        <f t="shared" si="29"/>
        <v>0</v>
      </c>
      <c r="P23" s="49">
        <v>0</v>
      </c>
      <c r="R23" s="47">
        <f t="shared" si="30"/>
        <v>0</v>
      </c>
      <c r="S23" s="47">
        <v>2000</v>
      </c>
      <c r="T23" s="311">
        <f t="shared" si="4"/>
        <v>-1</v>
      </c>
    </row>
    <row r="24" spans="1:20" x14ac:dyDescent="0.35">
      <c r="A24" s="154" t="s">
        <v>185</v>
      </c>
      <c r="B24" s="296">
        <f t="shared" si="27"/>
        <v>0</v>
      </c>
      <c r="C24" s="48">
        <f>+$Q$482*C495</f>
        <v>0</v>
      </c>
      <c r="D24" s="48">
        <f t="shared" ref="D24:N24" si="34">+$Q$482*D495</f>
        <v>0</v>
      </c>
      <c r="E24" s="48">
        <f t="shared" si="34"/>
        <v>0</v>
      </c>
      <c r="F24" s="48">
        <f t="shared" si="34"/>
        <v>0</v>
      </c>
      <c r="G24" s="48">
        <f t="shared" si="34"/>
        <v>0</v>
      </c>
      <c r="H24" s="48">
        <f t="shared" si="34"/>
        <v>0</v>
      </c>
      <c r="I24" s="48">
        <f t="shared" si="34"/>
        <v>0</v>
      </c>
      <c r="J24" s="48">
        <f t="shared" si="34"/>
        <v>0</v>
      </c>
      <c r="K24" s="48">
        <f t="shared" si="34"/>
        <v>0</v>
      </c>
      <c r="L24" s="48">
        <f t="shared" si="34"/>
        <v>0</v>
      </c>
      <c r="M24" s="48">
        <f t="shared" si="34"/>
        <v>0</v>
      </c>
      <c r="N24" s="48">
        <f t="shared" si="34"/>
        <v>0</v>
      </c>
      <c r="O24" s="297">
        <f t="shared" si="29"/>
        <v>0</v>
      </c>
      <c r="P24" s="49">
        <v>0</v>
      </c>
      <c r="R24" s="47">
        <f t="shared" si="30"/>
        <v>0</v>
      </c>
      <c r="S24" s="47">
        <v>92000</v>
      </c>
      <c r="T24" s="311">
        <f t="shared" si="4"/>
        <v>-1</v>
      </c>
    </row>
    <row r="25" spans="1:20" x14ac:dyDescent="0.35">
      <c r="A25" s="154" t="s">
        <v>186</v>
      </c>
      <c r="B25" s="296">
        <f t="shared" si="27"/>
        <v>117000</v>
      </c>
      <c r="C25" s="48">
        <f>+$Q$483*C496</f>
        <v>43290</v>
      </c>
      <c r="D25" s="48">
        <f t="shared" ref="D25:N25" si="35">+$Q$483*D496</f>
        <v>0</v>
      </c>
      <c r="E25" s="48">
        <f t="shared" si="35"/>
        <v>43290</v>
      </c>
      <c r="F25" s="48">
        <f t="shared" si="35"/>
        <v>0</v>
      </c>
      <c r="G25" s="48">
        <f t="shared" si="35"/>
        <v>0</v>
      </c>
      <c r="H25" s="48">
        <f t="shared" si="35"/>
        <v>0</v>
      </c>
      <c r="I25" s="48">
        <f t="shared" si="35"/>
        <v>0</v>
      </c>
      <c r="J25" s="48">
        <f t="shared" si="35"/>
        <v>43290</v>
      </c>
      <c r="K25" s="48">
        <f t="shared" si="35"/>
        <v>0</v>
      </c>
      <c r="L25" s="48">
        <f t="shared" si="35"/>
        <v>0</v>
      </c>
      <c r="M25" s="48">
        <f t="shared" si="35"/>
        <v>0</v>
      </c>
      <c r="N25" s="48">
        <f t="shared" si="35"/>
        <v>0</v>
      </c>
      <c r="O25" s="297">
        <f t="shared" si="29"/>
        <v>129870</v>
      </c>
      <c r="P25" s="49">
        <f t="shared" si="2"/>
        <v>0.11</v>
      </c>
      <c r="R25" s="47">
        <f t="shared" si="30"/>
        <v>117000</v>
      </c>
      <c r="S25" s="47">
        <v>0</v>
      </c>
      <c r="T25" s="311">
        <v>0</v>
      </c>
    </row>
    <row r="26" spans="1:20" x14ac:dyDescent="0.35">
      <c r="A26" s="154" t="s">
        <v>187</v>
      </c>
      <c r="B26" s="296">
        <f t="shared" si="27"/>
        <v>11305760.224588962</v>
      </c>
      <c r="C26" s="48">
        <f>+$Q$484*C497</f>
        <v>669663</v>
      </c>
      <c r="D26" s="48">
        <f t="shared" ref="D26:N26" si="36">+$Q$484*D497</f>
        <v>777444</v>
      </c>
      <c r="E26" s="48">
        <f t="shared" si="36"/>
        <v>1335219</v>
      </c>
      <c r="F26" s="48">
        <f t="shared" si="36"/>
        <v>834609</v>
      </c>
      <c r="G26" s="48">
        <f t="shared" si="36"/>
        <v>1378509</v>
      </c>
      <c r="H26" s="48">
        <f t="shared" si="36"/>
        <v>1392384</v>
      </c>
      <c r="I26" s="48">
        <f t="shared" si="36"/>
        <v>811743</v>
      </c>
      <c r="J26" s="48">
        <f t="shared" si="36"/>
        <v>1542678</v>
      </c>
      <c r="K26" s="48">
        <f t="shared" si="36"/>
        <v>1287045</v>
      </c>
      <c r="L26" s="48">
        <f t="shared" si="36"/>
        <v>1010211</v>
      </c>
      <c r="M26" s="48">
        <f t="shared" si="36"/>
        <v>805977.96384211676</v>
      </c>
      <c r="N26" s="48">
        <f t="shared" si="36"/>
        <v>703910.88545163046</v>
      </c>
      <c r="O26" s="297">
        <f t="shared" si="29"/>
        <v>12549393.849293746</v>
      </c>
      <c r="P26" s="49">
        <f t="shared" si="2"/>
        <v>0.10999999999999982</v>
      </c>
      <c r="R26" s="47">
        <f t="shared" si="30"/>
        <v>11305760.224588962</v>
      </c>
      <c r="S26" s="47">
        <v>11126400</v>
      </c>
      <c r="T26" s="311">
        <f t="shared" si="4"/>
        <v>1.6120238764466697E-2</v>
      </c>
    </row>
    <row r="27" spans="1:20" x14ac:dyDescent="0.35">
      <c r="A27" s="154" t="s">
        <v>188</v>
      </c>
      <c r="B27" s="296">
        <f t="shared" si="27"/>
        <v>35748765.10870339</v>
      </c>
      <c r="C27" s="48">
        <f>+$Q$485*C498</f>
        <v>3791351.3547104644</v>
      </c>
      <c r="D27" s="48">
        <f t="shared" ref="D27:M27" si="37">+$Q$485*D498</f>
        <v>4137069.6466116239</v>
      </c>
      <c r="E27" s="48">
        <f t="shared" si="37"/>
        <v>11603607.456151856</v>
      </c>
      <c r="F27" s="48">
        <f t="shared" si="37"/>
        <v>2420472.2685466646</v>
      </c>
      <c r="G27" s="48">
        <f t="shared" si="37"/>
        <v>2348507.7799016433</v>
      </c>
      <c r="H27" s="48">
        <f t="shared" si="37"/>
        <v>1977468.6494031616</v>
      </c>
      <c r="I27" s="48">
        <f t="shared" si="37"/>
        <v>2377937.7019555485</v>
      </c>
      <c r="J27" s="48">
        <f t="shared" si="37"/>
        <v>2262661.2525519496</v>
      </c>
      <c r="K27" s="48">
        <f t="shared" si="37"/>
        <v>2935218.263715914</v>
      </c>
      <c r="L27" s="48">
        <f t="shared" si="37"/>
        <v>2206244.6472561611</v>
      </c>
      <c r="M27" s="48">
        <f t="shared" si="37"/>
        <v>1943774.3706857106</v>
      </c>
      <c r="N27" s="48">
        <f>+$Q$485*N498</f>
        <v>1696945.8791700664</v>
      </c>
      <c r="O27" s="297">
        <f t="shared" si="29"/>
        <v>39701259.270660765</v>
      </c>
      <c r="P27" s="49">
        <f t="shared" si="2"/>
        <v>0.110563096373785</v>
      </c>
      <c r="R27" s="47">
        <f t="shared" si="30"/>
        <v>35748765.10870339</v>
      </c>
      <c r="S27" s="47">
        <v>32686900</v>
      </c>
      <c r="T27" s="311">
        <f t="shared" si="4"/>
        <v>9.3672544924828904E-2</v>
      </c>
    </row>
    <row r="28" spans="1:20" x14ac:dyDescent="0.35">
      <c r="A28" s="154" t="s">
        <v>189</v>
      </c>
      <c r="B28" s="296">
        <f t="shared" si="27"/>
        <v>117000</v>
      </c>
      <c r="C28" s="48">
        <f>+$Q$486*C499</f>
        <v>0</v>
      </c>
      <c r="D28" s="48">
        <f t="shared" ref="D28:N28" si="38">+$Q$486*D499</f>
        <v>43290</v>
      </c>
      <c r="E28" s="48">
        <f t="shared" si="38"/>
        <v>0</v>
      </c>
      <c r="F28" s="48">
        <f t="shared" si="38"/>
        <v>0</v>
      </c>
      <c r="G28" s="48">
        <f t="shared" si="38"/>
        <v>0</v>
      </c>
      <c r="H28" s="48">
        <f t="shared" si="38"/>
        <v>0</v>
      </c>
      <c r="I28" s="48">
        <f t="shared" si="38"/>
        <v>0</v>
      </c>
      <c r="J28" s="48">
        <f t="shared" si="38"/>
        <v>0</v>
      </c>
      <c r="K28" s="48">
        <f t="shared" si="38"/>
        <v>86580</v>
      </c>
      <c r="L28" s="48">
        <f t="shared" si="38"/>
        <v>0</v>
      </c>
      <c r="M28" s="48">
        <f t="shared" si="38"/>
        <v>0</v>
      </c>
      <c r="N28" s="48">
        <f t="shared" si="38"/>
        <v>0</v>
      </c>
      <c r="O28" s="297">
        <f t="shared" si="29"/>
        <v>129870</v>
      </c>
      <c r="P28" s="49">
        <v>0</v>
      </c>
      <c r="R28" s="47">
        <f t="shared" si="30"/>
        <v>117000</v>
      </c>
      <c r="S28" s="47">
        <v>36000</v>
      </c>
      <c r="T28" s="311">
        <f t="shared" si="4"/>
        <v>2.25</v>
      </c>
    </row>
    <row r="29" spans="1:20" x14ac:dyDescent="0.35">
      <c r="A29" s="154" t="s">
        <v>190</v>
      </c>
      <c r="B29" s="296">
        <f t="shared" si="27"/>
        <v>1193207.8909442974</v>
      </c>
      <c r="C29" s="48">
        <f>+$Q$487*C500</f>
        <v>43290</v>
      </c>
      <c r="D29" s="48">
        <f t="shared" ref="D29:N29" si="39">+$Q$487*D500</f>
        <v>0</v>
      </c>
      <c r="E29" s="48">
        <f t="shared" si="39"/>
        <v>476189.99999999994</v>
      </c>
      <c r="F29" s="48">
        <f t="shared" si="39"/>
        <v>43290</v>
      </c>
      <c r="G29" s="48">
        <f t="shared" si="39"/>
        <v>129870</v>
      </c>
      <c r="H29" s="48">
        <f t="shared" si="39"/>
        <v>86580</v>
      </c>
      <c r="I29" s="48">
        <f t="shared" si="39"/>
        <v>0</v>
      </c>
      <c r="J29" s="48">
        <f t="shared" si="39"/>
        <v>173160</v>
      </c>
      <c r="K29" s="48">
        <f t="shared" si="39"/>
        <v>129870</v>
      </c>
      <c r="L29" s="48">
        <f t="shared" si="39"/>
        <v>0</v>
      </c>
      <c r="M29" s="48">
        <f t="shared" si="39"/>
        <v>130061.7258660591</v>
      </c>
      <c r="N29" s="48">
        <f t="shared" si="39"/>
        <v>112149.03308211084</v>
      </c>
      <c r="O29" s="297">
        <f t="shared" si="29"/>
        <v>1324460.7589481699</v>
      </c>
      <c r="P29" s="49">
        <f t="shared" si="2"/>
        <v>0.10999999999999978</v>
      </c>
      <c r="R29" s="47">
        <f t="shared" si="30"/>
        <v>1193207.8909442974</v>
      </c>
      <c r="S29" s="47">
        <v>1332000</v>
      </c>
      <c r="T29" s="311">
        <f t="shared" si="4"/>
        <v>-0.10419828007184878</v>
      </c>
    </row>
    <row r="30" spans="1:20" s="31" customFormat="1" x14ac:dyDescent="0.35">
      <c r="A30" s="29" t="s">
        <v>191</v>
      </c>
      <c r="B30" s="300">
        <f>+B31</f>
        <v>58649164</v>
      </c>
      <c r="C30" s="30">
        <f>+C31</f>
        <v>8019648</v>
      </c>
      <c r="D30" s="30">
        <f t="shared" ref="D30:N30" si="40">+D31</f>
        <v>10192000</v>
      </c>
      <c r="E30" s="30">
        <f t="shared" si="40"/>
        <v>30972032</v>
      </c>
      <c r="F30" s="30">
        <f t="shared" si="40"/>
        <v>2818816</v>
      </c>
      <c r="G30" s="30">
        <f t="shared" si="40"/>
        <v>2382016</v>
      </c>
      <c r="H30" s="30">
        <f t="shared" si="40"/>
        <v>2283008</v>
      </c>
      <c r="I30" s="30">
        <f t="shared" si="40"/>
        <v>2020928</v>
      </c>
      <c r="J30" s="30">
        <f t="shared" si="40"/>
        <v>1793792</v>
      </c>
      <c r="K30" s="30">
        <f t="shared" si="40"/>
        <v>2073343.9999999998</v>
      </c>
      <c r="L30" s="30">
        <f t="shared" si="40"/>
        <v>1450176</v>
      </c>
      <c r="M30" s="30">
        <f t="shared" si="40"/>
        <v>898087.67999999993</v>
      </c>
      <c r="N30" s="30">
        <f t="shared" si="40"/>
        <v>783216</v>
      </c>
      <c r="O30" s="301">
        <f t="shared" si="29"/>
        <v>65687063.68</v>
      </c>
      <c r="P30" s="38">
        <f t="shared" si="2"/>
        <v>0.12</v>
      </c>
      <c r="R30" s="300">
        <f>+R31</f>
        <v>58649164</v>
      </c>
      <c r="S30" s="300">
        <f>+S31</f>
        <v>52132800</v>
      </c>
      <c r="T30" s="310">
        <f t="shared" si="4"/>
        <v>0.12499547309946905</v>
      </c>
    </row>
    <row r="31" spans="1:20" x14ac:dyDescent="0.35">
      <c r="A31" s="154" t="s">
        <v>192</v>
      </c>
      <c r="B31" s="296">
        <f>+O502</f>
        <v>58649164</v>
      </c>
      <c r="C31" s="48">
        <f>+$Q$502*C504</f>
        <v>8019648</v>
      </c>
      <c r="D31" s="48">
        <f t="shared" ref="D31:N31" si="41">+$Q$502*D504</f>
        <v>10192000</v>
      </c>
      <c r="E31" s="48">
        <f t="shared" si="41"/>
        <v>30972032</v>
      </c>
      <c r="F31" s="48">
        <f t="shared" si="41"/>
        <v>2818816</v>
      </c>
      <c r="G31" s="48">
        <f t="shared" si="41"/>
        <v>2382016</v>
      </c>
      <c r="H31" s="48">
        <f t="shared" si="41"/>
        <v>2283008</v>
      </c>
      <c r="I31" s="48">
        <f t="shared" si="41"/>
        <v>2020928</v>
      </c>
      <c r="J31" s="48">
        <f t="shared" si="41"/>
        <v>1793792</v>
      </c>
      <c r="K31" s="48">
        <f t="shared" si="41"/>
        <v>2073343.9999999998</v>
      </c>
      <c r="L31" s="48">
        <f t="shared" si="41"/>
        <v>1450176</v>
      </c>
      <c r="M31" s="48">
        <f t="shared" si="41"/>
        <v>898087.67999999993</v>
      </c>
      <c r="N31" s="48">
        <f t="shared" si="41"/>
        <v>783216</v>
      </c>
      <c r="O31" s="297">
        <f t="shared" si="29"/>
        <v>65687063.68</v>
      </c>
      <c r="P31" s="49">
        <f t="shared" si="2"/>
        <v>0.12</v>
      </c>
      <c r="R31" s="47">
        <f>+B31</f>
        <v>58649164</v>
      </c>
      <c r="S31" s="47">
        <v>52132800</v>
      </c>
      <c r="T31" s="311">
        <f t="shared" si="4"/>
        <v>0.12499547309946905</v>
      </c>
    </row>
    <row r="32" spans="1:20" s="31" customFormat="1" x14ac:dyDescent="0.35">
      <c r="A32" s="29" t="s">
        <v>193</v>
      </c>
      <c r="B32" s="300">
        <f>SUM(B33:B36)</f>
        <v>102065192.03184704</v>
      </c>
      <c r="C32" s="30">
        <f>SUM(C33:C36)</f>
        <v>11384750</v>
      </c>
      <c r="D32" s="30">
        <f t="shared" ref="D32:O32" si="42">SUM(D33:D36)</f>
        <v>12818494.000000002</v>
      </c>
      <c r="E32" s="30">
        <f t="shared" si="42"/>
        <v>24643944</v>
      </c>
      <c r="F32" s="30">
        <f t="shared" si="42"/>
        <v>7013006</v>
      </c>
      <c r="G32" s="30">
        <f t="shared" si="42"/>
        <v>7991360</v>
      </c>
      <c r="H32" s="30">
        <f t="shared" si="42"/>
        <v>7882654</v>
      </c>
      <c r="I32" s="30">
        <f t="shared" si="42"/>
        <v>7559474</v>
      </c>
      <c r="J32" s="30">
        <f t="shared" si="42"/>
        <v>8267532</v>
      </c>
      <c r="K32" s="30">
        <f t="shared" si="42"/>
        <v>8611278</v>
      </c>
      <c r="L32" s="30">
        <f t="shared" si="42"/>
        <v>8000174.0000000009</v>
      </c>
      <c r="M32" s="30">
        <f t="shared" si="42"/>
        <v>6741806</v>
      </c>
      <c r="N32" s="30">
        <f t="shared" si="42"/>
        <v>4419194.9959871806</v>
      </c>
      <c r="O32" s="301">
        <f t="shared" si="42"/>
        <v>115333666.99598719</v>
      </c>
      <c r="P32" s="38">
        <f t="shared" si="2"/>
        <v>0.13000000000000031</v>
      </c>
      <c r="R32" s="300">
        <f>SUM(R33:R36)</f>
        <v>102065192.03184704</v>
      </c>
      <c r="S32" s="300">
        <f>SUM(S33:S36)</f>
        <v>90716000</v>
      </c>
      <c r="T32" s="310">
        <f t="shared" si="4"/>
        <v>0.12510683927694172</v>
      </c>
    </row>
    <row r="33" spans="1:20" x14ac:dyDescent="0.35">
      <c r="A33" s="154" t="s">
        <v>194</v>
      </c>
      <c r="B33" s="296">
        <f>+O507</f>
        <v>60564347.748166792</v>
      </c>
      <c r="C33" s="48">
        <f>+$Q$507*C513</f>
        <v>7606482.0000000009</v>
      </c>
      <c r="D33" s="48">
        <f t="shared" ref="D33:N33" si="43">+$Q$507*D513</f>
        <v>8470254.0000000019</v>
      </c>
      <c r="E33" s="48">
        <f t="shared" si="43"/>
        <v>17445844</v>
      </c>
      <c r="F33" s="48">
        <f t="shared" si="43"/>
        <v>3881098.0000000005</v>
      </c>
      <c r="G33" s="48">
        <f t="shared" si="43"/>
        <v>4189588.0000000005</v>
      </c>
      <c r="H33" s="48">
        <f t="shared" si="43"/>
        <v>4274790</v>
      </c>
      <c r="I33" s="48">
        <f t="shared" si="43"/>
        <v>4057378.0000000005</v>
      </c>
      <c r="J33" s="48">
        <f t="shared" si="43"/>
        <v>4301232</v>
      </c>
      <c r="K33" s="48">
        <f t="shared" si="43"/>
        <v>4550962</v>
      </c>
      <c r="L33" s="48">
        <f t="shared" si="43"/>
        <v>4057378.0000000005</v>
      </c>
      <c r="M33" s="48">
        <f t="shared" si="43"/>
        <v>3521758</v>
      </c>
      <c r="N33" s="48">
        <f t="shared" si="43"/>
        <v>2080948.955428475</v>
      </c>
      <c r="O33" s="297">
        <f>SUM(C33:N33)</f>
        <v>68437712.955428481</v>
      </c>
      <c r="P33" s="49">
        <f t="shared" si="2"/>
        <v>0.13000000000000009</v>
      </c>
      <c r="R33" s="47">
        <f>+B33</f>
        <v>60564347.748166792</v>
      </c>
      <c r="S33" s="47">
        <v>54072800</v>
      </c>
      <c r="T33" s="311">
        <f t="shared" si="4"/>
        <v>0.12005199930772574</v>
      </c>
    </row>
    <row r="34" spans="1:20" x14ac:dyDescent="0.35">
      <c r="A34" s="154" t="s">
        <v>195</v>
      </c>
      <c r="B34" s="296">
        <f t="shared" ref="B34:B36" si="44">+O508</f>
        <v>37122717.89423646</v>
      </c>
      <c r="C34" s="48">
        <f>+$Q$508*C514</f>
        <v>3402204</v>
      </c>
      <c r="D34" s="48">
        <f t="shared" ref="D34:N34" si="45">+$Q$508*D514</f>
        <v>3801772</v>
      </c>
      <c r="E34" s="48">
        <f t="shared" si="45"/>
        <v>6351956</v>
      </c>
      <c r="F34" s="48">
        <f t="shared" si="45"/>
        <v>2720588</v>
      </c>
      <c r="G34" s="48">
        <f t="shared" si="45"/>
        <v>3402204</v>
      </c>
      <c r="H34" s="48">
        <f t="shared" si="45"/>
        <v>3267056</v>
      </c>
      <c r="I34" s="48">
        <f t="shared" si="45"/>
        <v>3067272</v>
      </c>
      <c r="J34" s="48">
        <f t="shared" si="45"/>
        <v>3601988</v>
      </c>
      <c r="K34" s="48">
        <f t="shared" si="45"/>
        <v>3637244</v>
      </c>
      <c r="L34" s="48">
        <f t="shared" si="45"/>
        <v>3672500.0000000005</v>
      </c>
      <c r="M34" s="48">
        <f t="shared" si="45"/>
        <v>2949752</v>
      </c>
      <c r="N34" s="48">
        <f t="shared" si="45"/>
        <v>2074135.2204872034</v>
      </c>
      <c r="O34" s="297">
        <f>SUM(C34:N34)</f>
        <v>41948671.220487207</v>
      </c>
      <c r="P34" s="49">
        <f t="shared" si="2"/>
        <v>0.1300000000000002</v>
      </c>
      <c r="R34" s="47">
        <f t="shared" ref="R34:R36" si="46">+B34</f>
        <v>37122717.89423646</v>
      </c>
      <c r="S34" s="47">
        <v>32813600</v>
      </c>
      <c r="T34" s="311">
        <f t="shared" si="4"/>
        <v>0.13132109534572434</v>
      </c>
    </row>
    <row r="35" spans="1:20" x14ac:dyDescent="0.35">
      <c r="A35" s="154" t="s">
        <v>196</v>
      </c>
      <c r="B35" s="296">
        <f t="shared" si="44"/>
        <v>214561.89618413389</v>
      </c>
      <c r="C35" s="48">
        <f>+$Q$509*C515</f>
        <v>17628</v>
      </c>
      <c r="D35" s="48">
        <f t="shared" ref="D35:N35" si="47">+$Q$509*D515</f>
        <v>17628</v>
      </c>
      <c r="E35" s="48">
        <f t="shared" si="47"/>
        <v>58760</v>
      </c>
      <c r="F35" s="48">
        <f t="shared" si="47"/>
        <v>17628</v>
      </c>
      <c r="G35" s="48">
        <f t="shared" si="47"/>
        <v>23504</v>
      </c>
      <c r="H35" s="48">
        <f t="shared" si="47"/>
        <v>11752</v>
      </c>
      <c r="I35" s="48">
        <f t="shared" si="47"/>
        <v>5876</v>
      </c>
      <c r="J35" s="48">
        <f t="shared" si="47"/>
        <v>23504</v>
      </c>
      <c r="K35" s="48">
        <f t="shared" si="47"/>
        <v>17628</v>
      </c>
      <c r="L35" s="48">
        <f t="shared" si="47"/>
        <v>23504</v>
      </c>
      <c r="M35" s="48">
        <f t="shared" si="47"/>
        <v>23504</v>
      </c>
      <c r="N35" s="48">
        <f t="shared" si="47"/>
        <v>1538.9426880712942</v>
      </c>
      <c r="O35" s="297">
        <f>SUM(C35:N35)</f>
        <v>242454.94268807129</v>
      </c>
      <c r="P35" s="49">
        <f t="shared" si="2"/>
        <v>0.12999999999999995</v>
      </c>
      <c r="R35" s="47">
        <f t="shared" si="46"/>
        <v>214561.89618413389</v>
      </c>
      <c r="S35" s="47">
        <v>145600</v>
      </c>
      <c r="T35" s="311">
        <f t="shared" si="4"/>
        <v>0.47363939686905143</v>
      </c>
    </row>
    <row r="36" spans="1:20" x14ac:dyDescent="0.35">
      <c r="A36" s="154" t="s">
        <v>197</v>
      </c>
      <c r="B36" s="296">
        <f t="shared" si="44"/>
        <v>4163564.4932596735</v>
      </c>
      <c r="C36" s="48">
        <f>+$Q$510*C516</f>
        <v>358436</v>
      </c>
      <c r="D36" s="48">
        <f t="shared" ref="D36:N36" si="48">+$Q$510*D516</f>
        <v>528840</v>
      </c>
      <c r="E36" s="48">
        <f t="shared" si="48"/>
        <v>787384</v>
      </c>
      <c r="F36" s="48">
        <f t="shared" si="48"/>
        <v>393692</v>
      </c>
      <c r="G36" s="48">
        <f t="shared" si="48"/>
        <v>376064</v>
      </c>
      <c r="H36" s="48">
        <f t="shared" si="48"/>
        <v>329056</v>
      </c>
      <c r="I36" s="48">
        <f t="shared" si="48"/>
        <v>428948.00000000006</v>
      </c>
      <c r="J36" s="48">
        <f t="shared" si="48"/>
        <v>340808.00000000006</v>
      </c>
      <c r="K36" s="48">
        <f t="shared" si="48"/>
        <v>405444.00000000006</v>
      </c>
      <c r="L36" s="48">
        <f t="shared" si="48"/>
        <v>246792.00000000003</v>
      </c>
      <c r="M36" s="48">
        <f t="shared" si="48"/>
        <v>246792.00000000003</v>
      </c>
      <c r="N36" s="48">
        <f t="shared" si="48"/>
        <v>262571.87738343084</v>
      </c>
      <c r="O36" s="297">
        <f>SUM(C36:N36)</f>
        <v>4704827.8773834305</v>
      </c>
      <c r="P36" s="49">
        <f t="shared" si="2"/>
        <v>0.12999999999999987</v>
      </c>
      <c r="R36" s="47">
        <f t="shared" si="46"/>
        <v>4163564.4932596735</v>
      </c>
      <c r="S36" s="47">
        <v>3684000</v>
      </c>
      <c r="T36" s="311">
        <f t="shared" si="4"/>
        <v>0.13017494388156176</v>
      </c>
    </row>
    <row r="37" spans="1:20" s="31" customFormat="1" x14ac:dyDescent="0.35">
      <c r="A37" s="29" t="s">
        <v>198</v>
      </c>
      <c r="B37" s="300">
        <f>+B38</f>
        <v>17600</v>
      </c>
      <c r="C37" s="30">
        <f>+C38</f>
        <v>4884</v>
      </c>
      <c r="D37" s="30">
        <f t="shared" ref="D37:O37" si="49">+D38</f>
        <v>0</v>
      </c>
      <c r="E37" s="30">
        <f t="shared" si="49"/>
        <v>0</v>
      </c>
      <c r="F37" s="30">
        <f t="shared" si="49"/>
        <v>0</v>
      </c>
      <c r="G37" s="30">
        <f t="shared" si="49"/>
        <v>0</v>
      </c>
      <c r="H37" s="30">
        <f t="shared" si="49"/>
        <v>4884</v>
      </c>
      <c r="I37" s="30">
        <f t="shared" si="49"/>
        <v>0</v>
      </c>
      <c r="J37" s="30">
        <f t="shared" si="49"/>
        <v>0</v>
      </c>
      <c r="K37" s="30">
        <f t="shared" si="49"/>
        <v>4884</v>
      </c>
      <c r="L37" s="30">
        <f t="shared" si="49"/>
        <v>0</v>
      </c>
      <c r="M37" s="30">
        <f t="shared" si="49"/>
        <v>0</v>
      </c>
      <c r="N37" s="30">
        <f t="shared" si="49"/>
        <v>4884</v>
      </c>
      <c r="O37" s="301">
        <f t="shared" si="49"/>
        <v>19536</v>
      </c>
      <c r="P37" s="38">
        <f t="shared" si="2"/>
        <v>0.11</v>
      </c>
      <c r="R37" s="300">
        <f>+R38</f>
        <v>17600</v>
      </c>
      <c r="S37" s="300">
        <f>+S38</f>
        <v>15000</v>
      </c>
      <c r="T37" s="310">
        <f t="shared" si="4"/>
        <v>0.17333333333333334</v>
      </c>
    </row>
    <row r="38" spans="1:20" x14ac:dyDescent="0.35">
      <c r="A38" s="154" t="s">
        <v>199</v>
      </c>
      <c r="B38" s="296">
        <f>+O518</f>
        <v>17600</v>
      </c>
      <c r="C38" s="48">
        <f>+$Q$518*C520</f>
        <v>4884</v>
      </c>
      <c r="D38" s="48">
        <f t="shared" ref="D38:N38" si="50">+$Q$518*D520</f>
        <v>0</v>
      </c>
      <c r="E38" s="48">
        <f t="shared" si="50"/>
        <v>0</v>
      </c>
      <c r="F38" s="48">
        <f t="shared" si="50"/>
        <v>0</v>
      </c>
      <c r="G38" s="48">
        <f t="shared" si="50"/>
        <v>0</v>
      </c>
      <c r="H38" s="48">
        <f t="shared" si="50"/>
        <v>4884</v>
      </c>
      <c r="I38" s="48">
        <f t="shared" si="50"/>
        <v>0</v>
      </c>
      <c r="J38" s="48">
        <f t="shared" si="50"/>
        <v>0</v>
      </c>
      <c r="K38" s="48">
        <f t="shared" si="50"/>
        <v>4884</v>
      </c>
      <c r="L38" s="48">
        <f t="shared" si="50"/>
        <v>0</v>
      </c>
      <c r="M38" s="48">
        <f t="shared" si="50"/>
        <v>0</v>
      </c>
      <c r="N38" s="48">
        <f t="shared" si="50"/>
        <v>4884</v>
      </c>
      <c r="O38" s="297">
        <f>+C38+D38+E38+F38+G38+H38+I38+J38+K38+L38+M38+N38</f>
        <v>19536</v>
      </c>
      <c r="P38" s="49">
        <f t="shared" si="2"/>
        <v>0.11</v>
      </c>
      <c r="R38" s="47">
        <f>+B38</f>
        <v>17600</v>
      </c>
      <c r="S38" s="47">
        <v>15000</v>
      </c>
      <c r="T38" s="311">
        <f t="shared" si="4"/>
        <v>0.17333333333333334</v>
      </c>
    </row>
    <row r="39" spans="1:20" s="31" customFormat="1" x14ac:dyDescent="0.35">
      <c r="A39" s="29" t="s">
        <v>200</v>
      </c>
      <c r="B39" s="300">
        <f>SUM(B40:B43)</f>
        <v>62611723.27233059</v>
      </c>
      <c r="C39" s="30">
        <f>SUM(C40:C43)</f>
        <v>1122000</v>
      </c>
      <c r="D39" s="30">
        <f t="shared" ref="D39:O39" si="51">SUM(D40:D43)</f>
        <v>2505120</v>
      </c>
      <c r="E39" s="30">
        <f t="shared" si="51"/>
        <v>4489020</v>
      </c>
      <c r="F39" s="30">
        <f t="shared" si="51"/>
        <v>32344200</v>
      </c>
      <c r="G39" s="30">
        <f t="shared" si="51"/>
        <v>3716880</v>
      </c>
      <c r="H39" s="30">
        <f t="shared" si="51"/>
        <v>2217480</v>
      </c>
      <c r="I39" s="30">
        <f t="shared" si="51"/>
        <v>3995339.9999999995</v>
      </c>
      <c r="J39" s="30">
        <f t="shared" si="51"/>
        <v>3312960</v>
      </c>
      <c r="K39" s="30">
        <f t="shared" si="51"/>
        <v>2980440</v>
      </c>
      <c r="L39" s="30">
        <f t="shared" si="51"/>
        <v>2675460</v>
      </c>
      <c r="M39" s="30">
        <f t="shared" si="51"/>
        <v>2610147.1366336634</v>
      </c>
      <c r="N39" s="30">
        <f t="shared" si="51"/>
        <v>1894910.6011435394</v>
      </c>
      <c r="O39" s="301">
        <f t="shared" si="51"/>
        <v>63863957.737777203</v>
      </c>
      <c r="P39" s="38">
        <f t="shared" si="2"/>
        <v>2.0000000000000032E-2</v>
      </c>
      <c r="R39" s="300">
        <f>SUM(R40:R43)</f>
        <v>62611723.27233059</v>
      </c>
      <c r="S39" s="300">
        <f>SUM(S40:S43)</f>
        <v>64721000</v>
      </c>
      <c r="T39" s="310">
        <f t="shared" si="4"/>
        <v>-3.2590298785083828E-2</v>
      </c>
    </row>
    <row r="40" spans="1:20" x14ac:dyDescent="0.35">
      <c r="A40" s="154" t="s">
        <v>201</v>
      </c>
      <c r="B40" s="296">
        <f>+O523</f>
        <v>16739787.7103038</v>
      </c>
      <c r="C40" s="48">
        <f>+$Q$523*C528</f>
        <v>0</v>
      </c>
      <c r="D40" s="48">
        <f>+$Q$523*D528</f>
        <v>1005719.9999999999</v>
      </c>
      <c r="E40" s="48">
        <f t="shared" ref="E40:N40" si="52">+$Q$523*E528</f>
        <v>502859.99999999994</v>
      </c>
      <c r="F40" s="48">
        <f>+$Q$523*F528</f>
        <v>2514299.9999999995</v>
      </c>
      <c r="G40" s="48">
        <f t="shared" si="52"/>
        <v>2011439.9999999998</v>
      </c>
      <c r="H40" s="48">
        <f>+$Q$523*H528</f>
        <v>1005719.9999999999</v>
      </c>
      <c r="I40" s="48">
        <f t="shared" si="52"/>
        <v>2514299.9999999995</v>
      </c>
      <c r="J40" s="48">
        <f>+$Q$523*J528</f>
        <v>2011439.9999999998</v>
      </c>
      <c r="K40" s="48">
        <f t="shared" si="52"/>
        <v>1508580</v>
      </c>
      <c r="L40" s="48">
        <f t="shared" si="52"/>
        <v>1508580</v>
      </c>
      <c r="M40" s="48">
        <f t="shared" si="52"/>
        <v>1603439.9999999998</v>
      </c>
      <c r="N40" s="48">
        <f t="shared" si="52"/>
        <v>888203.46450987586</v>
      </c>
      <c r="O40" s="297">
        <f>SUM(C40:N40)</f>
        <v>17074583.464509875</v>
      </c>
      <c r="P40" s="49">
        <f t="shared" si="2"/>
        <v>1.9999999999999903E-2</v>
      </c>
      <c r="R40" s="47">
        <f>+B40</f>
        <v>16739787.7103038</v>
      </c>
      <c r="S40" s="47">
        <v>30426000</v>
      </c>
      <c r="T40" s="311">
        <f t="shared" si="4"/>
        <v>-0.44981963747111681</v>
      </c>
    </row>
    <row r="41" spans="1:20" x14ac:dyDescent="0.35">
      <c r="A41" s="154" t="s">
        <v>202</v>
      </c>
      <c r="B41" s="296">
        <f t="shared" ref="B41:B43" si="53">+O524</f>
        <v>30566000</v>
      </c>
      <c r="C41" s="48">
        <f>+$Q$524*C529</f>
        <v>0</v>
      </c>
      <c r="D41" s="48">
        <f t="shared" ref="D41:N41" si="54">+$Q$524*D529</f>
        <v>1005720</v>
      </c>
      <c r="E41" s="48">
        <f t="shared" si="54"/>
        <v>2011440</v>
      </c>
      <c r="F41" s="48">
        <f t="shared" si="54"/>
        <v>28663020</v>
      </c>
      <c r="G41" s="48">
        <f t="shared" si="54"/>
        <v>0</v>
      </c>
      <c r="H41" s="48">
        <f t="shared" si="54"/>
        <v>0</v>
      </c>
      <c r="I41" s="48">
        <f t="shared" si="54"/>
        <v>0</v>
      </c>
      <c r="J41" s="48">
        <f t="shared" si="54"/>
        <v>0</v>
      </c>
      <c r="K41" s="48">
        <f t="shared" si="54"/>
        <v>-502860</v>
      </c>
      <c r="L41" s="48">
        <f t="shared" si="54"/>
        <v>0</v>
      </c>
      <c r="M41" s="48">
        <f t="shared" si="54"/>
        <v>0</v>
      </c>
      <c r="N41" s="48">
        <f t="shared" si="54"/>
        <v>0</v>
      </c>
      <c r="O41" s="297">
        <f t="shared" ref="O41:O48" si="55">SUM(C41:N41)</f>
        <v>31177320</v>
      </c>
      <c r="P41" s="49">
        <f t="shared" si="2"/>
        <v>0.02</v>
      </c>
      <c r="R41" s="47">
        <f t="shared" ref="R41:R43" si="56">+B41</f>
        <v>30566000</v>
      </c>
      <c r="S41" s="47">
        <v>21667000</v>
      </c>
      <c r="T41" s="311">
        <f t="shared" si="4"/>
        <v>0.41071675820371994</v>
      </c>
    </row>
    <row r="42" spans="1:20" x14ac:dyDescent="0.35">
      <c r="A42" s="154" t="s">
        <v>203</v>
      </c>
      <c r="B42" s="296">
        <f t="shared" si="53"/>
        <v>3168000</v>
      </c>
      <c r="C42" s="48">
        <f>+$Q$525*C530</f>
        <v>269280</v>
      </c>
      <c r="D42" s="48">
        <f t="shared" ref="D42:N42" si="57">+$Q$525*D530</f>
        <v>0</v>
      </c>
      <c r="E42" s="48">
        <f t="shared" si="57"/>
        <v>269280</v>
      </c>
      <c r="F42" s="48">
        <f t="shared" si="57"/>
        <v>269280</v>
      </c>
      <c r="G42" s="48">
        <f t="shared" si="57"/>
        <v>538560</v>
      </c>
      <c r="H42" s="48">
        <f t="shared" si="57"/>
        <v>0</v>
      </c>
      <c r="I42" s="48">
        <f t="shared" si="57"/>
        <v>538560</v>
      </c>
      <c r="J42" s="48">
        <f t="shared" si="57"/>
        <v>269280</v>
      </c>
      <c r="K42" s="48">
        <f t="shared" si="57"/>
        <v>807840</v>
      </c>
      <c r="L42" s="48">
        <f t="shared" si="57"/>
        <v>269280</v>
      </c>
      <c r="M42" s="48">
        <f t="shared" si="57"/>
        <v>0</v>
      </c>
      <c r="N42" s="48">
        <f t="shared" si="57"/>
        <v>0</v>
      </c>
      <c r="O42" s="297">
        <f t="shared" si="55"/>
        <v>3231360</v>
      </c>
      <c r="P42" s="49">
        <f t="shared" si="2"/>
        <v>0.02</v>
      </c>
      <c r="R42" s="47">
        <f t="shared" si="56"/>
        <v>3168000</v>
      </c>
      <c r="S42" s="47">
        <v>2214000</v>
      </c>
      <c r="T42" s="311">
        <f t="shared" si="4"/>
        <v>0.43089430894308944</v>
      </c>
    </row>
    <row r="43" spans="1:20" x14ac:dyDescent="0.35">
      <c r="A43" s="154" t="s">
        <v>204</v>
      </c>
      <c r="B43" s="296">
        <f t="shared" si="53"/>
        <v>12137935.562026791</v>
      </c>
      <c r="C43" s="48">
        <f>+$Q$526*C531</f>
        <v>852720.00000000012</v>
      </c>
      <c r="D43" s="48">
        <f t="shared" ref="D43:N43" si="58">+$Q$526*D531</f>
        <v>493680</v>
      </c>
      <c r="E43" s="48">
        <f t="shared" si="58"/>
        <v>1705440.0000000002</v>
      </c>
      <c r="F43" s="48">
        <f t="shared" si="58"/>
        <v>897600</v>
      </c>
      <c r="G43" s="48">
        <f t="shared" si="58"/>
        <v>1166880</v>
      </c>
      <c r="H43" s="48">
        <f t="shared" si="58"/>
        <v>1211760</v>
      </c>
      <c r="I43" s="48">
        <f t="shared" si="58"/>
        <v>942480</v>
      </c>
      <c r="J43" s="48">
        <f t="shared" si="58"/>
        <v>1032240</v>
      </c>
      <c r="K43" s="48">
        <f t="shared" si="58"/>
        <v>1166880</v>
      </c>
      <c r="L43" s="48">
        <f t="shared" si="58"/>
        <v>897600</v>
      </c>
      <c r="M43" s="48">
        <f t="shared" si="58"/>
        <v>1006707.1366336634</v>
      </c>
      <c r="N43" s="48">
        <f t="shared" si="58"/>
        <v>1006707.1366336634</v>
      </c>
      <c r="O43" s="297">
        <f t="shared" si="55"/>
        <v>12380694.273267329</v>
      </c>
      <c r="P43" s="49">
        <f t="shared" si="2"/>
        <v>2.0000000000000136E-2</v>
      </c>
      <c r="R43" s="47">
        <f t="shared" si="56"/>
        <v>12137935.562026791</v>
      </c>
      <c r="S43" s="47">
        <v>10414000</v>
      </c>
      <c r="T43" s="311">
        <f t="shared" si="4"/>
        <v>0.16554019224378638</v>
      </c>
    </row>
    <row r="44" spans="1:20" s="31" customFormat="1" x14ac:dyDescent="0.35">
      <c r="A44" s="29" t="s">
        <v>205</v>
      </c>
      <c r="B44" s="300">
        <f>SUM(B45:B48)</f>
        <v>182987800</v>
      </c>
      <c r="C44" s="30">
        <f>SUM(C45:C48)</f>
        <v>6110661</v>
      </c>
      <c r="D44" s="30">
        <f t="shared" ref="D44:O44" si="59">SUM(D45:D48)</f>
        <v>11578521</v>
      </c>
      <c r="E44" s="30">
        <f t="shared" si="59"/>
        <v>135470838</v>
      </c>
      <c r="F44" s="30">
        <f t="shared" si="59"/>
        <v>7570755</v>
      </c>
      <c r="G44" s="30">
        <f t="shared" si="59"/>
        <v>6870900</v>
      </c>
      <c r="H44" s="30">
        <f t="shared" si="59"/>
        <v>6037734</v>
      </c>
      <c r="I44" s="30">
        <f t="shared" si="59"/>
        <v>5610828</v>
      </c>
      <c r="J44" s="30">
        <f t="shared" si="59"/>
        <v>5617599</v>
      </c>
      <c r="K44" s="30">
        <f t="shared" si="59"/>
        <v>7821726</v>
      </c>
      <c r="L44" s="30">
        <f t="shared" si="59"/>
        <v>3475632</v>
      </c>
      <c r="M44" s="30">
        <f t="shared" si="59"/>
        <v>3475632</v>
      </c>
      <c r="N44" s="30">
        <f t="shared" si="59"/>
        <v>3475632</v>
      </c>
      <c r="O44" s="301">
        <f t="shared" si="59"/>
        <v>203116458</v>
      </c>
      <c r="P44" s="38">
        <f t="shared" si="2"/>
        <v>0.11</v>
      </c>
      <c r="R44" s="300">
        <f>SUM(R45:R48)</f>
        <v>182987800</v>
      </c>
      <c r="S44" s="300">
        <f>SUM(S45:S48)</f>
        <v>165937800</v>
      </c>
      <c r="T44" s="310">
        <f t="shared" si="4"/>
        <v>0.10274934342868232</v>
      </c>
    </row>
    <row r="45" spans="1:20" s="31" customFormat="1" x14ac:dyDescent="0.35">
      <c r="A45" s="154" t="s">
        <v>206</v>
      </c>
      <c r="B45" s="296">
        <f>+O534</f>
        <v>78000</v>
      </c>
      <c r="C45" s="48">
        <f>+$Q$534*C539</f>
        <v>0</v>
      </c>
      <c r="D45" s="48">
        <f t="shared" ref="D45:N45" si="60">+$Q$534*D539</f>
        <v>43290</v>
      </c>
      <c r="E45" s="48">
        <f t="shared" si="60"/>
        <v>0</v>
      </c>
      <c r="F45" s="48">
        <f t="shared" si="60"/>
        <v>0</v>
      </c>
      <c r="G45" s="48">
        <f t="shared" si="60"/>
        <v>0</v>
      </c>
      <c r="H45" s="48">
        <f t="shared" si="60"/>
        <v>0</v>
      </c>
      <c r="I45" s="48">
        <f t="shared" si="60"/>
        <v>0</v>
      </c>
      <c r="J45" s="48">
        <f t="shared" si="60"/>
        <v>43290</v>
      </c>
      <c r="K45" s="48">
        <f t="shared" si="60"/>
        <v>0</v>
      </c>
      <c r="L45" s="48">
        <f t="shared" si="60"/>
        <v>0</v>
      </c>
      <c r="M45" s="48">
        <f t="shared" si="60"/>
        <v>0</v>
      </c>
      <c r="N45" s="48">
        <f t="shared" si="60"/>
        <v>0</v>
      </c>
      <c r="O45" s="297">
        <f t="shared" si="55"/>
        <v>86580</v>
      </c>
      <c r="P45" s="49">
        <f t="shared" si="2"/>
        <v>0.11</v>
      </c>
      <c r="R45" s="47">
        <f>+B45</f>
        <v>78000</v>
      </c>
      <c r="S45" s="47">
        <v>78000</v>
      </c>
      <c r="T45" s="311">
        <f t="shared" si="4"/>
        <v>0</v>
      </c>
    </row>
    <row r="46" spans="1:20" s="31" customFormat="1" x14ac:dyDescent="0.35">
      <c r="A46" s="154" t="s">
        <v>207</v>
      </c>
      <c r="B46" s="296">
        <f t="shared" ref="B46:B48" si="61">+O535</f>
        <v>21824400</v>
      </c>
      <c r="C46" s="48">
        <f>+$Q$535*C540</f>
        <v>1593072</v>
      </c>
      <c r="D46" s="48">
        <f t="shared" ref="D46:N46" si="62">+$Q$535*D540</f>
        <v>1760460</v>
      </c>
      <c r="E46" s="48">
        <f t="shared" si="62"/>
        <v>4167384</v>
      </c>
      <c r="F46" s="48">
        <f t="shared" si="62"/>
        <v>1535352</v>
      </c>
      <c r="G46" s="48">
        <f t="shared" si="62"/>
        <v>1714284</v>
      </c>
      <c r="H46" s="48">
        <f t="shared" si="62"/>
        <v>1696968</v>
      </c>
      <c r="I46" s="48">
        <f t="shared" si="62"/>
        <v>1766232</v>
      </c>
      <c r="J46" s="48">
        <f t="shared" si="62"/>
        <v>1737372</v>
      </c>
      <c r="K46" s="48">
        <f t="shared" si="62"/>
        <v>1968251.9999999998</v>
      </c>
      <c r="L46" s="48">
        <f t="shared" si="62"/>
        <v>2095236.0000000002</v>
      </c>
      <c r="M46" s="48">
        <f t="shared" si="62"/>
        <v>2095236.0000000002</v>
      </c>
      <c r="N46" s="48">
        <f t="shared" si="62"/>
        <v>2095236.0000000002</v>
      </c>
      <c r="O46" s="297">
        <f t="shared" si="55"/>
        <v>24225084</v>
      </c>
      <c r="P46" s="49">
        <f t="shared" si="2"/>
        <v>0.11</v>
      </c>
      <c r="R46" s="47">
        <f t="shared" ref="R46:R48" si="63">+B46</f>
        <v>21824400</v>
      </c>
      <c r="S46" s="47">
        <v>16699200</v>
      </c>
      <c r="T46" s="311">
        <f t="shared" si="4"/>
        <v>0.3069129060074734</v>
      </c>
    </row>
    <row r="47" spans="1:20" s="31" customFormat="1" x14ac:dyDescent="0.35">
      <c r="A47" s="154" t="s">
        <v>208</v>
      </c>
      <c r="B47" s="296">
        <f t="shared" si="61"/>
        <v>15622400</v>
      </c>
      <c r="C47" s="48">
        <f>+$Q$536*C541</f>
        <v>716949</v>
      </c>
      <c r="D47" s="48">
        <f t="shared" ref="D47:N47" si="64">+$Q$536*D541</f>
        <v>934731</v>
      </c>
      <c r="E47" s="48">
        <f t="shared" si="64"/>
        <v>3014094</v>
      </c>
      <c r="F47" s="48">
        <f t="shared" si="64"/>
        <v>2231433</v>
      </c>
      <c r="G47" s="48">
        <f t="shared" si="64"/>
        <v>1760016</v>
      </c>
      <c r="H47" s="48">
        <f t="shared" si="64"/>
        <v>1494726</v>
      </c>
      <c r="I47" s="48">
        <f t="shared" si="64"/>
        <v>1657896</v>
      </c>
      <c r="J47" s="48">
        <f t="shared" si="64"/>
        <v>1306137</v>
      </c>
      <c r="K47" s="48">
        <f t="shared" si="64"/>
        <v>1672104</v>
      </c>
      <c r="L47" s="48">
        <f t="shared" si="64"/>
        <v>850926</v>
      </c>
      <c r="M47" s="48">
        <f t="shared" si="64"/>
        <v>850926</v>
      </c>
      <c r="N47" s="48">
        <f t="shared" si="64"/>
        <v>850926</v>
      </c>
      <c r="O47" s="297">
        <f t="shared" si="55"/>
        <v>17340864</v>
      </c>
      <c r="P47" s="49">
        <f t="shared" si="2"/>
        <v>0.11</v>
      </c>
      <c r="R47" s="47">
        <f t="shared" si="63"/>
        <v>15622400</v>
      </c>
      <c r="S47" s="47">
        <v>14550600</v>
      </c>
      <c r="T47" s="311">
        <f t="shared" si="4"/>
        <v>7.3660192706829955E-2</v>
      </c>
    </row>
    <row r="48" spans="1:20" s="31" customFormat="1" x14ac:dyDescent="0.35">
      <c r="A48" s="155" t="s">
        <v>266</v>
      </c>
      <c r="B48" s="296">
        <f t="shared" si="61"/>
        <v>145463000</v>
      </c>
      <c r="C48" s="48">
        <f>+$Q$537*C542</f>
        <v>3800640</v>
      </c>
      <c r="D48" s="48">
        <f>+$Q$537*D542</f>
        <v>8840040</v>
      </c>
      <c r="E48" s="48">
        <f>+$Q$537*E542</f>
        <v>128289360</v>
      </c>
      <c r="F48" s="48">
        <f t="shared" ref="F48:N48" si="65">+$Q$537*F542</f>
        <v>3803970</v>
      </c>
      <c r="G48" s="48">
        <f t="shared" si="65"/>
        <v>3396600.0000000005</v>
      </c>
      <c r="H48" s="48">
        <f t="shared" si="65"/>
        <v>2846040</v>
      </c>
      <c r="I48" s="48">
        <f t="shared" si="65"/>
        <v>2186700</v>
      </c>
      <c r="J48" s="48">
        <f t="shared" si="65"/>
        <v>2530800</v>
      </c>
      <c r="K48" s="48">
        <f t="shared" si="65"/>
        <v>4181370</v>
      </c>
      <c r="L48" s="48">
        <f t="shared" si="65"/>
        <v>529470</v>
      </c>
      <c r="M48" s="48">
        <f t="shared" si="65"/>
        <v>529470</v>
      </c>
      <c r="N48" s="48">
        <f t="shared" si="65"/>
        <v>529470</v>
      </c>
      <c r="O48" s="297">
        <f t="shared" si="55"/>
        <v>161463930</v>
      </c>
      <c r="P48" s="49">
        <f t="shared" si="2"/>
        <v>0.11</v>
      </c>
      <c r="R48" s="47">
        <f t="shared" si="63"/>
        <v>145463000</v>
      </c>
      <c r="S48" s="47">
        <v>134610000</v>
      </c>
      <c r="T48" s="311">
        <f t="shared" si="4"/>
        <v>8.0625510734715106E-2</v>
      </c>
    </row>
    <row r="49" spans="1:19" s="31" customFormat="1" x14ac:dyDescent="0.35">
      <c r="A49" s="29" t="s">
        <v>356</v>
      </c>
      <c r="B49" s="300">
        <f>+B50</f>
        <v>0</v>
      </c>
      <c r="C49" s="153">
        <f>+C50</f>
        <v>0</v>
      </c>
      <c r="D49" s="153">
        <f t="shared" ref="D49:N49" si="66">+D50</f>
        <v>0</v>
      </c>
      <c r="E49" s="153">
        <f t="shared" si="66"/>
        <v>0</v>
      </c>
      <c r="F49" s="153">
        <f t="shared" si="66"/>
        <v>0</v>
      </c>
      <c r="G49" s="153">
        <f t="shared" si="66"/>
        <v>0</v>
      </c>
      <c r="H49" s="153">
        <f t="shared" si="66"/>
        <v>0</v>
      </c>
      <c r="I49" s="153">
        <f t="shared" si="66"/>
        <v>0</v>
      </c>
      <c r="J49" s="153">
        <f t="shared" si="66"/>
        <v>0</v>
      </c>
      <c r="K49" s="153">
        <f t="shared" si="66"/>
        <v>0</v>
      </c>
      <c r="L49" s="153">
        <f t="shared" si="66"/>
        <v>0</v>
      </c>
      <c r="M49" s="153">
        <f t="shared" si="66"/>
        <v>0</v>
      </c>
      <c r="N49" s="153">
        <f t="shared" si="66"/>
        <v>0</v>
      </c>
      <c r="O49" s="297">
        <f>+O50</f>
        <v>0</v>
      </c>
      <c r="P49" s="38"/>
    </row>
    <row r="50" spans="1:19" s="31" customFormat="1" x14ac:dyDescent="0.35">
      <c r="A50" s="154" t="s">
        <v>357</v>
      </c>
      <c r="B50" s="296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297">
        <f>+SUM(C50:N50)</f>
        <v>0</v>
      </c>
      <c r="P50" s="49"/>
    </row>
    <row r="51" spans="1:19" s="31" customFormat="1" x14ac:dyDescent="0.35">
      <c r="A51" s="18" t="s">
        <v>914</v>
      </c>
      <c r="B51" s="306">
        <f t="shared" ref="B51:N51" si="67">SUM(B52:B54)</f>
        <v>0</v>
      </c>
      <c r="C51" s="10">
        <f t="shared" si="67"/>
        <v>1045000</v>
      </c>
      <c r="D51" s="10">
        <f t="shared" si="67"/>
        <v>1045000</v>
      </c>
      <c r="E51" s="10">
        <f t="shared" si="67"/>
        <v>1045000</v>
      </c>
      <c r="F51" s="10">
        <f t="shared" si="67"/>
        <v>1045000</v>
      </c>
      <c r="G51" s="10">
        <f t="shared" si="67"/>
        <v>1045000</v>
      </c>
      <c r="H51" s="10">
        <f t="shared" si="67"/>
        <v>1045000</v>
      </c>
      <c r="I51" s="10">
        <f t="shared" si="67"/>
        <v>1045000</v>
      </c>
      <c r="J51" s="10">
        <f t="shared" si="67"/>
        <v>1045000</v>
      </c>
      <c r="K51" s="10">
        <f t="shared" si="67"/>
        <v>1045000</v>
      </c>
      <c r="L51" s="10">
        <f t="shared" si="67"/>
        <v>1045000</v>
      </c>
      <c r="M51" s="10">
        <f t="shared" si="67"/>
        <v>1045000</v>
      </c>
      <c r="N51" s="10">
        <f t="shared" si="67"/>
        <v>1045000</v>
      </c>
      <c r="O51" s="301">
        <f>SUM(O52:O54)</f>
        <v>12540000</v>
      </c>
      <c r="P51" s="49">
        <v>1</v>
      </c>
    </row>
    <row r="52" spans="1:19" s="31" customFormat="1" x14ac:dyDescent="0.35">
      <c r="A52" s="13" t="s">
        <v>141</v>
      </c>
      <c r="B52" s="307">
        <v>0</v>
      </c>
      <c r="C52" s="11">
        <v>418000</v>
      </c>
      <c r="D52" s="11">
        <v>418000</v>
      </c>
      <c r="E52" s="11">
        <v>418000</v>
      </c>
      <c r="F52" s="11">
        <v>418000</v>
      </c>
      <c r="G52" s="11">
        <v>418000</v>
      </c>
      <c r="H52" s="11">
        <v>418000</v>
      </c>
      <c r="I52" s="11">
        <v>418000</v>
      </c>
      <c r="J52" s="11">
        <v>418000</v>
      </c>
      <c r="K52" s="11">
        <v>418000</v>
      </c>
      <c r="L52" s="11">
        <v>418000</v>
      </c>
      <c r="M52" s="11">
        <v>418000</v>
      </c>
      <c r="N52" s="11">
        <v>418000</v>
      </c>
      <c r="O52" s="297">
        <f t="shared" ref="O52:O53" si="68">SUM(C52:N52)</f>
        <v>5016000</v>
      </c>
      <c r="P52" s="49">
        <v>1</v>
      </c>
    </row>
    <row r="53" spans="1:19" s="31" customFormat="1" x14ac:dyDescent="0.35">
      <c r="A53" s="13" t="s">
        <v>796</v>
      </c>
      <c r="B53" s="307">
        <v>0</v>
      </c>
      <c r="C53" s="11">
        <v>627000</v>
      </c>
      <c r="D53" s="11">
        <v>627000</v>
      </c>
      <c r="E53" s="11">
        <v>627000</v>
      </c>
      <c r="F53" s="11">
        <v>627000</v>
      </c>
      <c r="G53" s="11">
        <v>627000</v>
      </c>
      <c r="H53" s="11">
        <v>627000</v>
      </c>
      <c r="I53" s="11">
        <v>627000</v>
      </c>
      <c r="J53" s="11">
        <v>627000</v>
      </c>
      <c r="K53" s="11">
        <v>627000</v>
      </c>
      <c r="L53" s="11">
        <v>627000</v>
      </c>
      <c r="M53" s="11">
        <v>627000</v>
      </c>
      <c r="N53" s="11">
        <v>627000</v>
      </c>
      <c r="O53" s="297">
        <f t="shared" si="68"/>
        <v>7524000</v>
      </c>
      <c r="P53" s="49">
        <v>1</v>
      </c>
    </row>
    <row r="54" spans="1:19" s="31" customFormat="1" x14ac:dyDescent="0.35">
      <c r="A54" s="13" t="s">
        <v>142</v>
      </c>
      <c r="B54" s="307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297"/>
      <c r="P54" s="49"/>
    </row>
    <row r="55" spans="1:19" s="31" customFormat="1" x14ac:dyDescent="0.35">
      <c r="A55" s="29" t="s">
        <v>209</v>
      </c>
      <c r="B55" s="300">
        <f>SUM(B56:B59)</f>
        <v>52008985</v>
      </c>
      <c r="C55" s="30">
        <f>SUM(C56:C59)</f>
        <v>14409.818000000001</v>
      </c>
      <c r="D55" s="30">
        <f t="shared" ref="D55:N55" si="69">SUM(D56:D59)</f>
        <v>11556.822</v>
      </c>
      <c r="E55" s="30">
        <f t="shared" si="69"/>
        <v>43351.368000000002</v>
      </c>
      <c r="F55" s="30">
        <f t="shared" si="69"/>
        <v>6792789.6640000008</v>
      </c>
      <c r="G55" s="30">
        <f t="shared" si="69"/>
        <v>3455841.9739999999</v>
      </c>
      <c r="H55" s="30">
        <f t="shared" si="69"/>
        <v>2755532.5300000003</v>
      </c>
      <c r="I55" s="30">
        <f t="shared" si="69"/>
        <v>2336523.4900000002</v>
      </c>
      <c r="J55" s="30">
        <f t="shared" si="69"/>
        <v>1134497.298</v>
      </c>
      <c r="K55" s="30">
        <f t="shared" si="69"/>
        <v>3164017.37</v>
      </c>
      <c r="L55" s="30">
        <f t="shared" si="69"/>
        <v>18350312.912</v>
      </c>
      <c r="M55" s="30">
        <f t="shared" si="69"/>
        <v>38017.370000000003</v>
      </c>
      <c r="N55" s="30">
        <f t="shared" si="69"/>
        <v>38017.370000000003</v>
      </c>
      <c r="O55" s="301">
        <f>SUM(O56:O59)</f>
        <v>38134867.986000001</v>
      </c>
      <c r="P55" s="38">
        <f t="shared" si="2"/>
        <v>-0.26676384886188415</v>
      </c>
    </row>
    <row r="56" spans="1:19" s="31" customFormat="1" x14ac:dyDescent="0.35">
      <c r="A56" s="154" t="s">
        <v>210</v>
      </c>
      <c r="B56" s="305">
        <v>24000000</v>
      </c>
      <c r="C56" s="48">
        <f>+$Q$544*C546</f>
        <v>14409.818000000001</v>
      </c>
      <c r="D56" s="48">
        <f t="shared" ref="D56:N56" si="70">+$Q$544*D546</f>
        <v>11556.822</v>
      </c>
      <c r="E56" s="48">
        <f t="shared" si="70"/>
        <v>43351.368000000002</v>
      </c>
      <c r="F56" s="48">
        <f t="shared" si="70"/>
        <v>6792789.6640000008</v>
      </c>
      <c r="G56" s="48">
        <f t="shared" si="70"/>
        <v>3455841.9739999999</v>
      </c>
      <c r="H56" s="48">
        <f t="shared" si="70"/>
        <v>2755532.5300000003</v>
      </c>
      <c r="I56" s="48">
        <f t="shared" si="70"/>
        <v>2336523.4900000002</v>
      </c>
      <c r="J56" s="48">
        <f t="shared" si="70"/>
        <v>1134497.298</v>
      </c>
      <c r="K56" s="48">
        <f t="shared" si="70"/>
        <v>38017.370000000003</v>
      </c>
      <c r="L56" s="48">
        <f t="shared" si="70"/>
        <v>8350312.9120000005</v>
      </c>
      <c r="M56" s="48">
        <f t="shared" si="70"/>
        <v>38017.370000000003</v>
      </c>
      <c r="N56" s="48">
        <f t="shared" si="70"/>
        <v>38017.370000000003</v>
      </c>
      <c r="O56" s="297">
        <f t="shared" ref="O56" si="71">SUM(C56:N56)</f>
        <v>25008867.986000005</v>
      </c>
      <c r="P56" s="49">
        <f t="shared" si="2"/>
        <v>4.2036166083333548E-2</v>
      </c>
    </row>
    <row r="57" spans="1:19" s="31" customFormat="1" x14ac:dyDescent="0.35">
      <c r="A57" s="154" t="s">
        <v>267</v>
      </c>
      <c r="B57" s="305">
        <v>3000000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48">
        <f>(+B57*B3)+B57</f>
        <v>3126000</v>
      </c>
      <c r="L57" s="50">
        <v>0</v>
      </c>
      <c r="M57" s="50">
        <v>0</v>
      </c>
      <c r="N57" s="50">
        <v>0</v>
      </c>
      <c r="O57" s="297">
        <f t="shared" ref="O57:O59" si="72">SUM(C57:N57)</f>
        <v>3126000</v>
      </c>
      <c r="P57" s="49">
        <f t="shared" si="2"/>
        <v>4.2000000000000003E-2</v>
      </c>
    </row>
    <row r="58" spans="1:19" s="31" customFormat="1" x14ac:dyDescent="0.35">
      <c r="A58" s="154" t="s">
        <v>211</v>
      </c>
      <c r="B58" s="305">
        <v>8985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297">
        <f t="shared" si="72"/>
        <v>0</v>
      </c>
      <c r="P58" s="49">
        <v>0</v>
      </c>
    </row>
    <row r="59" spans="1:19" s="31" customFormat="1" ht="15" thickBot="1" x14ac:dyDescent="0.4">
      <c r="A59" s="156" t="s">
        <v>212</v>
      </c>
      <c r="B59" s="312">
        <v>25000000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10000000</v>
      </c>
      <c r="M59" s="51">
        <v>0</v>
      </c>
      <c r="N59" s="51">
        <v>0</v>
      </c>
      <c r="O59" s="297">
        <f t="shared" si="72"/>
        <v>10000000</v>
      </c>
      <c r="P59" s="243">
        <f t="shared" si="2"/>
        <v>-0.6</v>
      </c>
    </row>
    <row r="60" spans="1:19" s="31" customFormat="1" x14ac:dyDescent="0.3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9" s="31" customFormat="1" x14ac:dyDescent="0.35">
      <c r="B61" s="55"/>
      <c r="C61" s="55"/>
      <c r="D61" s="46"/>
    </row>
    <row r="62" spans="1:19" s="31" customFormat="1" ht="15" thickBot="1" x14ac:dyDescent="0.4">
      <c r="A62" s="31" t="s">
        <v>667</v>
      </c>
      <c r="B62" s="75">
        <v>4.2000000000000003E-2</v>
      </c>
      <c r="C62" s="55"/>
    </row>
    <row r="63" spans="1:19" s="31" customFormat="1" ht="16" thickBot="1" x14ac:dyDescent="0.4">
      <c r="A63" s="44"/>
      <c r="B63" s="69" t="s">
        <v>668</v>
      </c>
      <c r="C63" s="69" t="s">
        <v>159</v>
      </c>
      <c r="D63" s="69" t="s">
        <v>160</v>
      </c>
      <c r="E63" s="69" t="s">
        <v>161</v>
      </c>
      <c r="F63" s="69" t="s">
        <v>162</v>
      </c>
      <c r="G63" s="69" t="s">
        <v>163</v>
      </c>
      <c r="H63" s="69" t="s">
        <v>164</v>
      </c>
      <c r="I63" s="69" t="s">
        <v>165</v>
      </c>
      <c r="J63" s="69" t="s">
        <v>166</v>
      </c>
      <c r="K63" s="69" t="s">
        <v>167</v>
      </c>
      <c r="L63" s="69" t="s">
        <v>168</v>
      </c>
      <c r="M63" s="69" t="s">
        <v>169</v>
      </c>
      <c r="N63" s="69" t="s">
        <v>170</v>
      </c>
      <c r="O63" s="431" t="s">
        <v>670</v>
      </c>
      <c r="P63" s="69" t="s">
        <v>671</v>
      </c>
    </row>
    <row r="64" spans="1:19" s="31" customFormat="1" ht="15.5" x14ac:dyDescent="0.35">
      <c r="A64" s="29" t="s">
        <v>112</v>
      </c>
      <c r="B64" s="240">
        <f t="shared" ref="B64:O64" si="73">+B65+B442</f>
        <v>2368434238</v>
      </c>
      <c r="C64" s="56">
        <f t="shared" si="73"/>
        <v>259325950</v>
      </c>
      <c r="D64" s="56">
        <f t="shared" si="73"/>
        <v>209843910</v>
      </c>
      <c r="E64" s="56">
        <f t="shared" si="73"/>
        <v>236997057.81189686</v>
      </c>
      <c r="F64" s="56">
        <f t="shared" si="73"/>
        <v>218369450</v>
      </c>
      <c r="G64" s="56">
        <f t="shared" si="73"/>
        <v>196285516.66666666</v>
      </c>
      <c r="H64" s="56">
        <f t="shared" si="73"/>
        <v>251305111.14523023</v>
      </c>
      <c r="I64" s="56">
        <f t="shared" si="73"/>
        <v>203796916.66666666</v>
      </c>
      <c r="J64" s="56">
        <f t="shared" si="73"/>
        <v>208935187</v>
      </c>
      <c r="K64" s="56">
        <f t="shared" si="73"/>
        <v>265756857.81189686</v>
      </c>
      <c r="L64" s="56">
        <f t="shared" si="73"/>
        <v>186455250</v>
      </c>
      <c r="M64" s="56">
        <f t="shared" si="73"/>
        <v>187810716.66666669</v>
      </c>
      <c r="N64" s="56">
        <f t="shared" si="73"/>
        <v>213954970</v>
      </c>
      <c r="O64" s="432">
        <f t="shared" si="73"/>
        <v>2638671560.4356909</v>
      </c>
      <c r="P64" s="38">
        <f t="shared" ref="P64:P90" si="74">+(O64-B64)/B64</f>
        <v>0.11409956759613897</v>
      </c>
      <c r="S64" s="46"/>
    </row>
    <row r="65" spans="1:17" s="31" customFormat="1" x14ac:dyDescent="0.35">
      <c r="A65" s="29" t="s">
        <v>113</v>
      </c>
      <c r="B65" s="240">
        <f t="shared" ref="B65:O65" si="75">+B66+B85+B107+B114+B134+B156+B169+B275+B277+B315+B363+B369+B379</f>
        <v>2351785238</v>
      </c>
      <c r="C65" s="56">
        <f t="shared" si="75"/>
        <v>257880950</v>
      </c>
      <c r="D65" s="56">
        <f t="shared" si="75"/>
        <v>208398910</v>
      </c>
      <c r="E65" s="56">
        <f t="shared" si="75"/>
        <v>235552057.81189686</v>
      </c>
      <c r="F65" s="56">
        <f t="shared" si="75"/>
        <v>216924450</v>
      </c>
      <c r="G65" s="56">
        <f t="shared" si="75"/>
        <v>194840516.66666666</v>
      </c>
      <c r="H65" s="56">
        <f t="shared" si="75"/>
        <v>249860111.14523023</v>
      </c>
      <c r="I65" s="56">
        <f t="shared" si="75"/>
        <v>202351916.66666666</v>
      </c>
      <c r="J65" s="56">
        <f t="shared" si="75"/>
        <v>207490187</v>
      </c>
      <c r="K65" s="56">
        <f t="shared" si="75"/>
        <v>264311857.81189686</v>
      </c>
      <c r="L65" s="56">
        <f t="shared" si="75"/>
        <v>185010250</v>
      </c>
      <c r="M65" s="56">
        <f t="shared" si="75"/>
        <v>186365716.66666669</v>
      </c>
      <c r="N65" s="56">
        <f t="shared" si="75"/>
        <v>212509970</v>
      </c>
      <c r="O65" s="240">
        <f t="shared" si="75"/>
        <v>2621331560.4356909</v>
      </c>
      <c r="P65" s="38">
        <f t="shared" si="74"/>
        <v>0.11461349364745475</v>
      </c>
    </row>
    <row r="66" spans="1:17" s="31" customFormat="1" x14ac:dyDescent="0.35">
      <c r="A66" s="29" t="s">
        <v>126</v>
      </c>
      <c r="B66" s="317">
        <f t="shared" ref="B66:O66" si="76">SUM(B67:B84)</f>
        <v>1311935319</v>
      </c>
      <c r="C66" s="56">
        <f t="shared" si="76"/>
        <v>131543800</v>
      </c>
      <c r="D66" s="56">
        <f t="shared" si="76"/>
        <v>116729000</v>
      </c>
      <c r="E66" s="56">
        <f t="shared" si="76"/>
        <v>115868000</v>
      </c>
      <c r="F66" s="56">
        <f t="shared" si="76"/>
        <v>118729000</v>
      </c>
      <c r="G66" s="56">
        <f t="shared" si="76"/>
        <v>116929000</v>
      </c>
      <c r="H66" s="56">
        <f t="shared" si="76"/>
        <v>129711000</v>
      </c>
      <c r="I66" s="56">
        <f t="shared" si="76"/>
        <v>115729000</v>
      </c>
      <c r="J66" s="56">
        <f t="shared" si="76"/>
        <v>115329000</v>
      </c>
      <c r="K66" s="56">
        <f t="shared" si="76"/>
        <v>114868000</v>
      </c>
      <c r="L66" s="56">
        <f t="shared" si="76"/>
        <v>114229000</v>
      </c>
      <c r="M66" s="56">
        <f t="shared" si="76"/>
        <v>117229000</v>
      </c>
      <c r="N66" s="56">
        <f t="shared" si="76"/>
        <v>159096000</v>
      </c>
      <c r="O66" s="390">
        <f t="shared" si="76"/>
        <v>1465989800</v>
      </c>
      <c r="P66" s="38">
        <f t="shared" si="74"/>
        <v>0.11742536294961962</v>
      </c>
      <c r="Q66" s="55"/>
    </row>
    <row r="67" spans="1:17" s="31" customFormat="1" x14ac:dyDescent="0.35">
      <c r="A67" s="154" t="s">
        <v>93</v>
      </c>
      <c r="B67" s="296">
        <f>764344000+10000000</f>
        <v>774344000</v>
      </c>
      <c r="C67" s="57">
        <f>+'[1]PROYECC NOMINA 5,5% PUBLICA'!$E$56</f>
        <v>72848000</v>
      </c>
      <c r="D67" s="57">
        <f>+'[1]PROYECC NOMINA 5,5% PUBLICA'!$E$56</f>
        <v>72848000</v>
      </c>
      <c r="E67" s="57">
        <f>+'[1]PROYECC NOMINA 5,5% PUBLICA'!$E$56</f>
        <v>72848000</v>
      </c>
      <c r="F67" s="57">
        <f>+'[1]PROYECC NOMINA 5,5% PUBLICA'!$E$56</f>
        <v>72848000</v>
      </c>
      <c r="G67" s="57">
        <f>+'[1]PROYECC NOMINA 5,5% PUBLICA'!$E$56</f>
        <v>72848000</v>
      </c>
      <c r="H67" s="57">
        <f>+'[1]PROYECC NOMINA 5,5% PUBLICA'!$E$56</f>
        <v>72848000</v>
      </c>
      <c r="I67" s="57">
        <f>+'[1]PROYECC NOMINA 5,5% PUBLICA'!$E$56</f>
        <v>72848000</v>
      </c>
      <c r="J67" s="57">
        <f>+'[1]PROYECC NOMINA 5,5% PUBLICA'!$E$56</f>
        <v>72848000</v>
      </c>
      <c r="K67" s="57">
        <f>+'[1]PROYECC NOMINA 5,5% PUBLICA'!$E$56</f>
        <v>72848000</v>
      </c>
      <c r="L67" s="57">
        <f>+'[1]PROYECC NOMINA 5,5% PUBLICA'!$E$56</f>
        <v>72848000</v>
      </c>
      <c r="M67" s="57">
        <f>+'[1]PROYECC NOMINA 5,5% PUBLICA'!$E$56</f>
        <v>72848000</v>
      </c>
      <c r="N67" s="57">
        <f>+'[1]PROYECC NOMINA 5,5% PUBLICA'!$E$56</f>
        <v>72848000</v>
      </c>
      <c r="O67" s="384">
        <f>SUM(C67:N67)</f>
        <v>874176000</v>
      </c>
      <c r="P67" s="49">
        <f t="shared" si="74"/>
        <v>0.12892461231700639</v>
      </c>
      <c r="Q67" s="46"/>
    </row>
    <row r="68" spans="1:17" s="31" customFormat="1" x14ac:dyDescent="0.35">
      <c r="A68" s="154" t="s">
        <v>95</v>
      </c>
      <c r="B68" s="296">
        <v>17909000</v>
      </c>
      <c r="C68" s="57">
        <f>+'[1]PROYECC NOMINA 5,5% PUBLICA'!$D$56</f>
        <v>1672000</v>
      </c>
      <c r="D68" s="57">
        <f>+'[1]PROYECC NOMINA 5,5% PUBLICA'!$D$56</f>
        <v>1672000</v>
      </c>
      <c r="E68" s="57">
        <f>+'[1]PROYECC NOMINA 5,5% PUBLICA'!$D$56</f>
        <v>1672000</v>
      </c>
      <c r="F68" s="57">
        <f>+'[1]PROYECC NOMINA 5,5% PUBLICA'!$D$56</f>
        <v>1672000</v>
      </c>
      <c r="G68" s="57">
        <f>+'[1]PROYECC NOMINA 5,5% PUBLICA'!$D$56</f>
        <v>1672000</v>
      </c>
      <c r="H68" s="57">
        <f>+'[1]PROYECC NOMINA 5,5% PUBLICA'!$D$56</f>
        <v>1672000</v>
      </c>
      <c r="I68" s="57">
        <f>+'[1]PROYECC NOMINA 5,5% PUBLICA'!$D$56</f>
        <v>1672000</v>
      </c>
      <c r="J68" s="57">
        <f>+'[1]PROYECC NOMINA 5,5% PUBLICA'!$D$56</f>
        <v>1672000</v>
      </c>
      <c r="K68" s="57">
        <f>+'[1]PROYECC NOMINA 5,5% PUBLICA'!$D$56</f>
        <v>1672000</v>
      </c>
      <c r="L68" s="57">
        <f>+'[1]PROYECC NOMINA 5,5% PUBLICA'!$D$56</f>
        <v>1672000</v>
      </c>
      <c r="M68" s="57">
        <f>+'[1]PROYECC NOMINA 5,5% PUBLICA'!$D$56</f>
        <v>1672000</v>
      </c>
      <c r="N68" s="57">
        <f>+'[1]PROYECC NOMINA 5,5% PUBLICA'!$D$56</f>
        <v>1672000</v>
      </c>
      <c r="O68" s="384">
        <f t="shared" ref="O68:O84" si="77">SUM(C68:N68)</f>
        <v>20064000</v>
      </c>
      <c r="P68" s="49">
        <f t="shared" si="74"/>
        <v>0.12033056005360433</v>
      </c>
    </row>
    <row r="69" spans="1:17" s="31" customFormat="1" x14ac:dyDescent="0.35">
      <c r="A69" s="154" t="s">
        <v>96</v>
      </c>
      <c r="B69" s="296">
        <v>66825000</v>
      </c>
      <c r="C69" s="57">
        <f>+'[1]PROYECC NOMINA 5,5% PUBLICA'!$H$56</f>
        <v>6210000</v>
      </c>
      <c r="D69" s="57">
        <f>+'[1]PROYECC NOMINA 5,5% PUBLICA'!$H$56</f>
        <v>6210000</v>
      </c>
      <c r="E69" s="57">
        <f>+'[1]PROYECC NOMINA 5,5% PUBLICA'!$H$56</f>
        <v>6210000</v>
      </c>
      <c r="F69" s="57">
        <f>+'[1]PROYECC NOMINA 5,5% PUBLICA'!$H$56</f>
        <v>6210000</v>
      </c>
      <c r="G69" s="57">
        <f>+'[1]PROYECC NOMINA 5,5% PUBLICA'!$H$56</f>
        <v>6210000</v>
      </c>
      <c r="H69" s="57">
        <f>+'[1]PROYECC NOMINA 5,5% PUBLICA'!$H$56</f>
        <v>6210000</v>
      </c>
      <c r="I69" s="57">
        <f>+'[1]PROYECC NOMINA 5,5% PUBLICA'!$H$56</f>
        <v>6210000</v>
      </c>
      <c r="J69" s="57">
        <f>+'[1]PROYECC NOMINA 5,5% PUBLICA'!$H$56</f>
        <v>6210000</v>
      </c>
      <c r="K69" s="57">
        <f>+'[1]PROYECC NOMINA 5,5% PUBLICA'!$H$56</f>
        <v>6210000</v>
      </c>
      <c r="L69" s="57">
        <f>+'[1]PROYECC NOMINA 5,5% PUBLICA'!$H$56</f>
        <v>6210000</v>
      </c>
      <c r="M69" s="57">
        <f>+'[1]PROYECC NOMINA 5,5% PUBLICA'!$H$56</f>
        <v>6210000</v>
      </c>
      <c r="N69" s="57">
        <f>+'[1]PROYECC NOMINA 5,5% PUBLICA'!$H$56</f>
        <v>6210000</v>
      </c>
      <c r="O69" s="384">
        <f t="shared" si="77"/>
        <v>74520000</v>
      </c>
      <c r="P69" s="49">
        <f t="shared" si="74"/>
        <v>0.11515151515151516</v>
      </c>
    </row>
    <row r="70" spans="1:17" s="31" customFormat="1" x14ac:dyDescent="0.35">
      <c r="A70" s="154" t="s">
        <v>97</v>
      </c>
      <c r="B70" s="296">
        <v>7933000</v>
      </c>
      <c r="C70" s="57">
        <f>+'[1]PROYECC NOMINA 5,5% PUBLICA'!$I$56</f>
        <v>747000</v>
      </c>
      <c r="D70" s="57">
        <f>+'[1]PROYECC NOMINA 5,5% PUBLICA'!$I$56</f>
        <v>747000</v>
      </c>
      <c r="E70" s="57">
        <f>+'[1]PROYECC NOMINA 5,5% PUBLICA'!$I$56</f>
        <v>747000</v>
      </c>
      <c r="F70" s="57">
        <f>+'[1]PROYECC NOMINA 5,5% PUBLICA'!$I$56</f>
        <v>747000</v>
      </c>
      <c r="G70" s="57">
        <f>+'[1]PROYECC NOMINA 5,5% PUBLICA'!$I$56</f>
        <v>747000</v>
      </c>
      <c r="H70" s="57">
        <f>+'[1]PROYECC NOMINA 5,5% PUBLICA'!$I$56</f>
        <v>747000</v>
      </c>
      <c r="I70" s="57">
        <f>+'[1]PROYECC NOMINA 5,5% PUBLICA'!$I$56</f>
        <v>747000</v>
      </c>
      <c r="J70" s="57">
        <f>+'[1]PROYECC NOMINA 5,5% PUBLICA'!$I$56</f>
        <v>747000</v>
      </c>
      <c r="K70" s="57">
        <f>+'[1]PROYECC NOMINA 5,5% PUBLICA'!$I$56</f>
        <v>747000</v>
      </c>
      <c r="L70" s="57">
        <f>+'[1]PROYECC NOMINA 5,5% PUBLICA'!$I$56</f>
        <v>747000</v>
      </c>
      <c r="M70" s="57">
        <f>+'[1]PROYECC NOMINA 5,5% PUBLICA'!$I$56</f>
        <v>747000</v>
      </c>
      <c r="N70" s="57">
        <f>+'[1]PROYECC NOMINA 5,5% PUBLICA'!$I$56</f>
        <v>747000</v>
      </c>
      <c r="O70" s="384">
        <f t="shared" si="77"/>
        <v>8964000</v>
      </c>
      <c r="P70" s="49">
        <f t="shared" si="74"/>
        <v>0.12996344384217826</v>
      </c>
    </row>
    <row r="71" spans="1:17" s="31" customFormat="1" x14ac:dyDescent="0.35">
      <c r="A71" s="154" t="s">
        <v>98</v>
      </c>
      <c r="B71" s="296">
        <v>66825000</v>
      </c>
      <c r="C71" s="57">
        <f>+'[1]PROYECC NOMINA 5,5% PUBLICA'!$J$56</f>
        <v>6210000</v>
      </c>
      <c r="D71" s="57">
        <f>+'[1]PROYECC NOMINA 5,5% PUBLICA'!$J$56</f>
        <v>6210000</v>
      </c>
      <c r="E71" s="57">
        <f>+'[1]PROYECC NOMINA 5,5% PUBLICA'!$J$56</f>
        <v>6210000</v>
      </c>
      <c r="F71" s="57">
        <f>+'[1]PROYECC NOMINA 5,5% PUBLICA'!$J$56</f>
        <v>6210000</v>
      </c>
      <c r="G71" s="57">
        <f>+'[1]PROYECC NOMINA 5,5% PUBLICA'!$J$56</f>
        <v>6210000</v>
      </c>
      <c r="H71" s="57">
        <f>+'[1]PROYECC NOMINA 5,5% PUBLICA'!$J$56</f>
        <v>6210000</v>
      </c>
      <c r="I71" s="57">
        <f>+'[1]PROYECC NOMINA 5,5% PUBLICA'!$J$56</f>
        <v>6210000</v>
      </c>
      <c r="J71" s="57">
        <f>+'[1]PROYECC NOMINA 5,5% PUBLICA'!$J$56</f>
        <v>6210000</v>
      </c>
      <c r="K71" s="57">
        <f>+'[1]PROYECC NOMINA 5,5% PUBLICA'!$J$56</f>
        <v>6210000</v>
      </c>
      <c r="L71" s="57">
        <f>+'[1]PROYECC NOMINA 5,5% PUBLICA'!$J$56</f>
        <v>6210000</v>
      </c>
      <c r="M71" s="57">
        <f>+'[1]PROYECC NOMINA 5,5% PUBLICA'!$J$56</f>
        <v>6210000</v>
      </c>
      <c r="N71" s="57">
        <f>+'[1]PROYECC NOMINA 5,5% PUBLICA'!$J$56</f>
        <v>6210000</v>
      </c>
      <c r="O71" s="384">
        <f t="shared" si="77"/>
        <v>74520000</v>
      </c>
      <c r="P71" s="49">
        <f t="shared" si="74"/>
        <v>0.11515151515151516</v>
      </c>
    </row>
    <row r="72" spans="1:17" s="31" customFormat="1" x14ac:dyDescent="0.35">
      <c r="A72" s="154" t="s">
        <v>99</v>
      </c>
      <c r="B72" s="296">
        <f>36582000+5000000</f>
        <v>41582000</v>
      </c>
      <c r="C72" s="57">
        <f>+'[1]PROYECC NOMINA 5,5% PUBLICA'!$K$56</f>
        <v>4556000</v>
      </c>
      <c r="D72" s="57">
        <f>+'[1]PROYECC NOMINA 5,5% PUBLICA'!$K$56</f>
        <v>4556000</v>
      </c>
      <c r="E72" s="57">
        <f>+'[1]PROYECC NOMINA 5,5% PUBLICA'!$K$56</f>
        <v>4556000</v>
      </c>
      <c r="F72" s="57">
        <f>+'[1]PROYECC NOMINA 5,5% PUBLICA'!$K$56</f>
        <v>4556000</v>
      </c>
      <c r="G72" s="57">
        <f>+'[1]PROYECC NOMINA 5,5% PUBLICA'!$K$56</f>
        <v>4556000</v>
      </c>
      <c r="H72" s="57">
        <f>+'[1]PROYECC NOMINA 5,5% PUBLICA'!$K$56</f>
        <v>4556000</v>
      </c>
      <c r="I72" s="57">
        <f>+'[1]PROYECC NOMINA 5,5% PUBLICA'!$K$56</f>
        <v>4556000</v>
      </c>
      <c r="J72" s="57">
        <f>+'[1]PROYECC NOMINA 5,5% PUBLICA'!$K$56</f>
        <v>4556000</v>
      </c>
      <c r="K72" s="57">
        <f>+'[1]PROYECC NOMINA 5,5% PUBLICA'!$K$56</f>
        <v>4556000</v>
      </c>
      <c r="L72" s="57">
        <f>+'[1]PROYECC NOMINA 5,5% PUBLICA'!$K$56</f>
        <v>4556000</v>
      </c>
      <c r="M72" s="57">
        <f>+'[1]PROYECC NOMINA 5,5% PUBLICA'!$K$56</f>
        <v>4556000</v>
      </c>
      <c r="N72" s="57">
        <f>+'[1]PROYECC NOMINA 5,5% PUBLICA'!$K$56</f>
        <v>4556000</v>
      </c>
      <c r="O72" s="384">
        <f t="shared" si="77"/>
        <v>54672000</v>
      </c>
      <c r="P72" s="49">
        <f t="shared" si="74"/>
        <v>0.31479967293540473</v>
      </c>
    </row>
    <row r="73" spans="1:17" s="31" customFormat="1" x14ac:dyDescent="0.35">
      <c r="A73" s="154" t="s">
        <v>822</v>
      </c>
      <c r="B73" s="296">
        <v>18212320</v>
      </c>
      <c r="C73" s="57">
        <f>+'[2]PROYECC NOMINA 7% PUBLICA'!$F$55</f>
        <v>0</v>
      </c>
      <c r="D73" s="57">
        <f>+'[2]PROYECC NOMINA 7% PUBLICA'!$F$55</f>
        <v>0</v>
      </c>
      <c r="E73" s="57">
        <f>+'[2]PROYECC NOMINA 7% PUBLICA'!$F$55</f>
        <v>0</v>
      </c>
      <c r="F73" s="57">
        <f>+'[2]PROYECC NOMINA 7% PUBLICA'!$F$55</f>
        <v>0</v>
      </c>
      <c r="G73" s="57">
        <f>+'[2]PROYECC NOMINA 7% PUBLICA'!$F$55</f>
        <v>0</v>
      </c>
      <c r="H73" s="57">
        <v>14843000</v>
      </c>
      <c r="I73" s="57"/>
      <c r="J73" s="57"/>
      <c r="K73" s="57"/>
      <c r="L73" s="57"/>
      <c r="M73" s="57"/>
      <c r="N73" s="57">
        <v>14843000</v>
      </c>
      <c r="O73" s="384">
        <f t="shared" si="77"/>
        <v>29686000</v>
      </c>
      <c r="P73" s="49">
        <f t="shared" si="74"/>
        <v>0.62999551951645916</v>
      </c>
    </row>
    <row r="74" spans="1:17" s="31" customFormat="1" x14ac:dyDescent="0.35">
      <c r="A74" s="154" t="s">
        <v>567</v>
      </c>
      <c r="B74" s="296">
        <v>40000000</v>
      </c>
      <c r="C74" s="57">
        <f>+'[2]PROYECC NOMINA 7% PUBLICA'!$G$55</f>
        <v>0</v>
      </c>
      <c r="D74" s="57">
        <f>+'[2]PROYECC NOMINA 7% PUBLICA'!$G$55</f>
        <v>0</v>
      </c>
      <c r="E74" s="57">
        <f>+'[2]PROYECC NOMINA 7% PUBLICA'!$G$55</f>
        <v>0</v>
      </c>
      <c r="F74" s="57">
        <f>+'[2]PROYECC NOMINA 7% PUBLICA'!$G$55</f>
        <v>0</v>
      </c>
      <c r="G74" s="57">
        <f>+'[2]PROYECC NOMINA 7% PUBLICA'!$G$55</f>
        <v>0</v>
      </c>
      <c r="H74" s="57">
        <f>+'[2]PROYECC NOMINA 7% PUBLICA'!$G$55</f>
        <v>0</v>
      </c>
      <c r="I74" s="57">
        <f>+'[2]PROYECC NOMINA 7% PUBLICA'!$G$55</f>
        <v>0</v>
      </c>
      <c r="J74" s="57">
        <f>+'[2]PROYECC NOMINA 7% PUBLICA'!$G$55</f>
        <v>0</v>
      </c>
      <c r="K74" s="57">
        <f>+'[2]PROYECC NOMINA 7% PUBLICA'!$G$55</f>
        <v>0</v>
      </c>
      <c r="L74" s="57">
        <f>+'[2]PROYECC NOMINA 7% PUBLICA'!$G$55</f>
        <v>0</v>
      </c>
      <c r="M74" s="57">
        <f>+'[2]PROYECC NOMINA 7% PUBLICA'!$G$55</f>
        <v>0</v>
      </c>
      <c r="N74" s="57">
        <v>30000000</v>
      </c>
      <c r="O74" s="384">
        <f t="shared" si="77"/>
        <v>30000000</v>
      </c>
      <c r="P74" s="49">
        <f t="shared" si="74"/>
        <v>-0.25</v>
      </c>
    </row>
    <row r="75" spans="1:17" s="31" customFormat="1" x14ac:dyDescent="0.35">
      <c r="A75" s="154" t="s">
        <v>101</v>
      </c>
      <c r="B75" s="296">
        <v>15898000</v>
      </c>
      <c r="C75" s="70">
        <v>15898000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384">
        <f t="shared" si="77"/>
        <v>15898000</v>
      </c>
      <c r="P75" s="49">
        <f t="shared" si="74"/>
        <v>0</v>
      </c>
    </row>
    <row r="76" spans="1:17" s="31" customFormat="1" x14ac:dyDescent="0.35">
      <c r="A76" s="154" t="s">
        <v>103</v>
      </c>
      <c r="B76" s="296">
        <f>13640000+3200000+1500000</f>
        <v>18340000</v>
      </c>
      <c r="C76" s="70">
        <v>1000000</v>
      </c>
      <c r="D76" s="70">
        <v>2500000</v>
      </c>
      <c r="E76" s="70">
        <v>1500000</v>
      </c>
      <c r="F76" s="57">
        <f>4000000+500000</f>
        <v>4500000</v>
      </c>
      <c r="G76" s="70">
        <v>2700000</v>
      </c>
      <c r="H76" s="70">
        <v>500000</v>
      </c>
      <c r="I76" s="70">
        <v>1500000</v>
      </c>
      <c r="J76" s="70">
        <v>1100000</v>
      </c>
      <c r="K76" s="70">
        <v>500000</v>
      </c>
      <c r="L76" s="70">
        <v>0</v>
      </c>
      <c r="M76" s="70">
        <v>3000000</v>
      </c>
      <c r="N76" s="70">
        <v>0</v>
      </c>
      <c r="O76" s="384">
        <f t="shared" si="77"/>
        <v>18800000</v>
      </c>
      <c r="P76" s="49">
        <f t="shared" si="74"/>
        <v>2.5081788440567066E-2</v>
      </c>
    </row>
    <row r="77" spans="1:17" s="31" customFormat="1" x14ac:dyDescent="0.35">
      <c r="A77" s="154" t="s">
        <v>675</v>
      </c>
      <c r="B77" s="296">
        <v>5156700</v>
      </c>
      <c r="C77" s="57">
        <f>+'[1]PROYECC NOMINA 5,5% PUBLICA'!$N$56</f>
        <v>500000</v>
      </c>
      <c r="D77" s="57">
        <f>+'[1]PROYECC NOMINA 5,5% PUBLICA'!$N$56</f>
        <v>500000</v>
      </c>
      <c r="E77" s="57">
        <f>+'[1]PROYECC NOMINA 5,5% PUBLICA'!$N$56</f>
        <v>500000</v>
      </c>
      <c r="F77" s="57">
        <f>+'[1]PROYECC NOMINA 5,5% PUBLICA'!$N$56</f>
        <v>500000</v>
      </c>
      <c r="G77" s="57">
        <f>+'[1]PROYECC NOMINA 5,5% PUBLICA'!$N$56</f>
        <v>500000</v>
      </c>
      <c r="H77" s="57">
        <f>+'[1]PROYECC NOMINA 5,5% PUBLICA'!$N$56</f>
        <v>500000</v>
      </c>
      <c r="I77" s="57">
        <f>+'[1]PROYECC NOMINA 5,5% PUBLICA'!$N$56</f>
        <v>500000</v>
      </c>
      <c r="J77" s="57">
        <f>+'[1]PROYECC NOMINA 5,5% PUBLICA'!$N$56</f>
        <v>500000</v>
      </c>
      <c r="K77" s="57">
        <f>+'[1]PROYECC NOMINA 5,5% PUBLICA'!$N$56</f>
        <v>500000</v>
      </c>
      <c r="L77" s="57">
        <f>+'[1]PROYECC NOMINA 5,5% PUBLICA'!$N$56</f>
        <v>500000</v>
      </c>
      <c r="M77" s="57">
        <f>+'[1]PROYECC NOMINA 5,5% PUBLICA'!$N$56</f>
        <v>500000</v>
      </c>
      <c r="N77" s="57">
        <f>+'[1]PROYECC NOMINA 5,5% PUBLICA'!$N$56+24000</f>
        <v>524000</v>
      </c>
      <c r="O77" s="384">
        <f t="shared" si="77"/>
        <v>6024000</v>
      </c>
      <c r="P77" s="49">
        <f t="shared" si="74"/>
        <v>0.16818895805456979</v>
      </c>
    </row>
    <row r="78" spans="1:17" s="31" customFormat="1" x14ac:dyDescent="0.35">
      <c r="A78" s="154" t="s">
        <v>105</v>
      </c>
      <c r="B78" s="296">
        <f>66659999+3000000</f>
        <v>69659999</v>
      </c>
      <c r="C78" s="57">
        <f>+'[1]PROYECC NOMINA 5,5% PUBLICA'!$L$56</f>
        <v>6192000</v>
      </c>
      <c r="D78" s="57">
        <f>+'[1]PROYECC NOMINA 5,5% PUBLICA'!$L$56</f>
        <v>6192000</v>
      </c>
      <c r="E78" s="57">
        <f>+'[1]PROYECC NOMINA 5,5% PUBLICA'!$L$56</f>
        <v>6192000</v>
      </c>
      <c r="F78" s="57">
        <f>+'[1]PROYECC NOMINA 5,5% PUBLICA'!$L$56</f>
        <v>6192000</v>
      </c>
      <c r="G78" s="57">
        <f>+'[1]PROYECC NOMINA 5,5% PUBLICA'!$L$56</f>
        <v>6192000</v>
      </c>
      <c r="H78" s="57">
        <f>+'[1]PROYECC NOMINA 5,5% PUBLICA'!$L$56</f>
        <v>6192000</v>
      </c>
      <c r="I78" s="57">
        <f>+'[1]PROYECC NOMINA 5,5% PUBLICA'!$L$56</f>
        <v>6192000</v>
      </c>
      <c r="J78" s="57">
        <f>+'[1]PROYECC NOMINA 5,5% PUBLICA'!$L$56</f>
        <v>6192000</v>
      </c>
      <c r="K78" s="57">
        <f>+'[1]PROYECC NOMINA 5,5% PUBLICA'!$L$56</f>
        <v>6192000</v>
      </c>
      <c r="L78" s="57">
        <f>+'[1]PROYECC NOMINA 5,5% PUBLICA'!$L$56</f>
        <v>6192000</v>
      </c>
      <c r="M78" s="57">
        <f>+'[1]PROYECC NOMINA 5,5% PUBLICA'!$L$56</f>
        <v>6192000</v>
      </c>
      <c r="N78" s="57">
        <f>+'[1]PROYECC NOMINA 5,5% PUBLICA'!$L$56</f>
        <v>6192000</v>
      </c>
      <c r="O78" s="384">
        <f t="shared" si="77"/>
        <v>74304000</v>
      </c>
      <c r="P78" s="49">
        <f t="shared" si="74"/>
        <v>6.6666681979136985E-2</v>
      </c>
    </row>
    <row r="79" spans="1:17" s="31" customFormat="1" x14ac:dyDescent="0.35">
      <c r="A79" s="154" t="s">
        <v>106</v>
      </c>
      <c r="B79" s="296">
        <f>94177000+4000000</f>
        <v>98177000</v>
      </c>
      <c r="C79" s="57">
        <f>+'[1]PROYECC NOMINA 5,5% PUBLICA'!$M$56</f>
        <v>8740000</v>
      </c>
      <c r="D79" s="57">
        <f>+'[1]PROYECC NOMINA 5,5% PUBLICA'!$M$56</f>
        <v>8740000</v>
      </c>
      <c r="E79" s="57">
        <f>+'[1]PROYECC NOMINA 5,5% PUBLICA'!$M$56</f>
        <v>8740000</v>
      </c>
      <c r="F79" s="57">
        <f>+'[1]PROYECC NOMINA 5,5% PUBLICA'!$M$56</f>
        <v>8740000</v>
      </c>
      <c r="G79" s="57">
        <f>+'[1]PROYECC NOMINA 5,5% PUBLICA'!$M$56</f>
        <v>8740000</v>
      </c>
      <c r="H79" s="57">
        <f>+'[1]PROYECC NOMINA 5,5% PUBLICA'!$M$56</f>
        <v>8740000</v>
      </c>
      <c r="I79" s="57">
        <f>+'[1]PROYECC NOMINA 5,5% PUBLICA'!$M$56</f>
        <v>8740000</v>
      </c>
      <c r="J79" s="57">
        <f>+'[1]PROYECC NOMINA 5,5% PUBLICA'!$M$56</f>
        <v>8740000</v>
      </c>
      <c r="K79" s="57">
        <f>+'[1]PROYECC NOMINA 5,5% PUBLICA'!$M$56</f>
        <v>8740000</v>
      </c>
      <c r="L79" s="57">
        <f>+'[1]PROYECC NOMINA 5,5% PUBLICA'!$M$56</f>
        <v>8740000</v>
      </c>
      <c r="M79" s="57">
        <f>+'[1]PROYECC NOMINA 5,5% PUBLICA'!$M$56</f>
        <v>8740000</v>
      </c>
      <c r="N79" s="57">
        <f>+'[1]PROYECC NOMINA 5,5% PUBLICA'!$M$56</f>
        <v>8740000</v>
      </c>
      <c r="O79" s="384">
        <f t="shared" si="77"/>
        <v>104880000</v>
      </c>
      <c r="P79" s="49">
        <f t="shared" si="74"/>
        <v>6.8274646811371298E-2</v>
      </c>
    </row>
    <row r="80" spans="1:17" s="31" customFormat="1" x14ac:dyDescent="0.35">
      <c r="A80" s="154" t="s">
        <v>107</v>
      </c>
      <c r="B80" s="296">
        <v>31404700</v>
      </c>
      <c r="C80" s="57">
        <f>+'[1]PROYECC NOMINA 5,5% PUBLICA'!$O$56</f>
        <v>2909000</v>
      </c>
      <c r="D80" s="57">
        <f>+'[1]PROYECC NOMINA 5,5% PUBLICA'!$O$56</f>
        <v>2909000</v>
      </c>
      <c r="E80" s="57">
        <f>+'[1]PROYECC NOMINA 5,5% PUBLICA'!$O$56</f>
        <v>2909000</v>
      </c>
      <c r="F80" s="57">
        <f>+'[1]PROYECC NOMINA 5,5% PUBLICA'!$O$56</f>
        <v>2909000</v>
      </c>
      <c r="G80" s="57">
        <f>+'[1]PROYECC NOMINA 5,5% PUBLICA'!$O$56</f>
        <v>2909000</v>
      </c>
      <c r="H80" s="57">
        <f>+'[1]PROYECC NOMINA 5,5% PUBLICA'!$O$56</f>
        <v>2909000</v>
      </c>
      <c r="I80" s="57">
        <f>+'[1]PROYECC NOMINA 5,5% PUBLICA'!$O$56</f>
        <v>2909000</v>
      </c>
      <c r="J80" s="57">
        <f>+'[1]PROYECC NOMINA 5,5% PUBLICA'!$O$56</f>
        <v>2909000</v>
      </c>
      <c r="K80" s="57">
        <f>+'[1]PROYECC NOMINA 5,5% PUBLICA'!$O$56</f>
        <v>2909000</v>
      </c>
      <c r="L80" s="57">
        <f>+'[1]PROYECC NOMINA 5,5% PUBLICA'!$O$56</f>
        <v>2909000</v>
      </c>
      <c r="M80" s="57">
        <f>+'[1]PROYECC NOMINA 5,5% PUBLICA'!$O$56</f>
        <v>2909000</v>
      </c>
      <c r="N80" s="57">
        <f>+'[1]PROYECC NOMINA 5,5% PUBLICA'!$O$56</f>
        <v>2909000</v>
      </c>
      <c r="O80" s="384">
        <f t="shared" si="77"/>
        <v>34908000</v>
      </c>
      <c r="P80" s="49">
        <f t="shared" si="74"/>
        <v>0.11155336621588488</v>
      </c>
    </row>
    <row r="81" spans="1:16" s="31" customFormat="1" x14ac:dyDescent="0.35">
      <c r="A81" s="154" t="s">
        <v>108</v>
      </c>
      <c r="B81" s="296">
        <v>23561600</v>
      </c>
      <c r="C81" s="57">
        <f>+'[1]PROYECC NOMINA 5,5% PUBLICA'!$P$56</f>
        <v>2187000</v>
      </c>
      <c r="D81" s="57">
        <f>+'[1]PROYECC NOMINA 5,5% PUBLICA'!$P$56</f>
        <v>2187000</v>
      </c>
      <c r="E81" s="57">
        <f>+'[1]PROYECC NOMINA 5,5% PUBLICA'!$P$56</f>
        <v>2187000</v>
      </c>
      <c r="F81" s="57">
        <f>+'[1]PROYECC NOMINA 5,5% PUBLICA'!$P$56</f>
        <v>2187000</v>
      </c>
      <c r="G81" s="57">
        <f>+'[1]PROYECC NOMINA 5,5% PUBLICA'!$P$56</f>
        <v>2187000</v>
      </c>
      <c r="H81" s="57">
        <f>+'[1]PROYECC NOMINA 5,5% PUBLICA'!$P$56</f>
        <v>2187000</v>
      </c>
      <c r="I81" s="57">
        <f>+'[1]PROYECC NOMINA 5,5% PUBLICA'!$P$56</f>
        <v>2187000</v>
      </c>
      <c r="J81" s="57">
        <f>+'[1]PROYECC NOMINA 5,5% PUBLICA'!$P$56</f>
        <v>2187000</v>
      </c>
      <c r="K81" s="57">
        <f>+'[1]PROYECC NOMINA 5,5% PUBLICA'!$P$56</f>
        <v>2187000</v>
      </c>
      <c r="L81" s="57">
        <f>+'[1]PROYECC NOMINA 5,5% PUBLICA'!$P$56</f>
        <v>2187000</v>
      </c>
      <c r="M81" s="57">
        <f>+'[1]PROYECC NOMINA 5,5% PUBLICA'!$P$56</f>
        <v>2187000</v>
      </c>
      <c r="N81" s="57">
        <f>+'[1]PROYECC NOMINA 5,5% PUBLICA'!$P$56</f>
        <v>2187000</v>
      </c>
      <c r="O81" s="384">
        <f t="shared" si="77"/>
        <v>26244000</v>
      </c>
      <c r="P81" s="49">
        <f t="shared" si="74"/>
        <v>0.11384625831862012</v>
      </c>
    </row>
    <row r="82" spans="1:16" s="31" customFormat="1" x14ac:dyDescent="0.35">
      <c r="A82" s="154" t="s">
        <v>109</v>
      </c>
      <c r="B82" s="296">
        <v>15707000</v>
      </c>
      <c r="C82" s="57">
        <f>+'[1]PROYECC NOMINA 5,5% PUBLICA'!$Q$56</f>
        <v>1458000</v>
      </c>
      <c r="D82" s="57">
        <f>+'[1]PROYECC NOMINA 5,5% PUBLICA'!$Q$56</f>
        <v>1458000</v>
      </c>
      <c r="E82" s="57">
        <f>+'[1]PROYECC NOMINA 5,5% PUBLICA'!$Q$56</f>
        <v>1458000</v>
      </c>
      <c r="F82" s="57">
        <f>+'[1]PROYECC NOMINA 5,5% PUBLICA'!$Q$56</f>
        <v>1458000</v>
      </c>
      <c r="G82" s="57">
        <f>+'[1]PROYECC NOMINA 5,5% PUBLICA'!$Q$56</f>
        <v>1458000</v>
      </c>
      <c r="H82" s="57">
        <f>+'[1]PROYECC NOMINA 5,5% PUBLICA'!$Q$56</f>
        <v>1458000</v>
      </c>
      <c r="I82" s="57">
        <f>+'[1]PROYECC NOMINA 5,5% PUBLICA'!$Q$56</f>
        <v>1458000</v>
      </c>
      <c r="J82" s="57">
        <f>+'[1]PROYECC NOMINA 5,5% PUBLICA'!$Q$56</f>
        <v>1458000</v>
      </c>
      <c r="K82" s="57">
        <f>+'[1]PROYECC NOMINA 5,5% PUBLICA'!$Q$56</f>
        <v>1458000</v>
      </c>
      <c r="L82" s="57">
        <f>+'[1]PROYECC NOMINA 5,5% PUBLICA'!$Q$56</f>
        <v>1458000</v>
      </c>
      <c r="M82" s="57">
        <f>+'[1]PROYECC NOMINA 5,5% PUBLICA'!$Q$56</f>
        <v>1458000</v>
      </c>
      <c r="N82" s="57">
        <f>+'[1]PROYECC NOMINA 5,5% PUBLICA'!$Q$56</f>
        <v>1458000</v>
      </c>
      <c r="O82" s="384">
        <f t="shared" si="77"/>
        <v>17496000</v>
      </c>
      <c r="P82" s="49">
        <f t="shared" si="74"/>
        <v>0.1138982619214363</v>
      </c>
    </row>
    <row r="83" spans="1:16" x14ac:dyDescent="0.35">
      <c r="A83" s="154" t="s">
        <v>540</v>
      </c>
      <c r="B83" s="296">
        <v>0</v>
      </c>
      <c r="C83" s="50">
        <v>0</v>
      </c>
      <c r="D83" s="50">
        <v>0</v>
      </c>
      <c r="E83" s="50">
        <v>0</v>
      </c>
      <c r="F83" s="58"/>
      <c r="G83" s="58"/>
      <c r="H83" s="58"/>
      <c r="I83" s="58"/>
      <c r="J83" s="58"/>
      <c r="K83" s="58"/>
      <c r="L83" s="58"/>
      <c r="M83" s="50">
        <v>0</v>
      </c>
      <c r="N83" s="50">
        <v>0</v>
      </c>
      <c r="O83" s="384">
        <f t="shared" ref="O83" si="78">SUM(C83:N83)</f>
        <v>0</v>
      </c>
      <c r="P83" s="49">
        <v>0</v>
      </c>
    </row>
    <row r="84" spans="1:16" s="31" customFormat="1" x14ac:dyDescent="0.35">
      <c r="A84" s="154" t="s">
        <v>111</v>
      </c>
      <c r="B84" s="296">
        <v>400000</v>
      </c>
      <c r="C84" s="70">
        <v>416800</v>
      </c>
      <c r="D84" s="57">
        <v>0</v>
      </c>
      <c r="E84" s="50">
        <f>ROUND(+($B$84*$B$62)+$B$84,-3)/3</f>
        <v>139000</v>
      </c>
      <c r="F84" s="57">
        <v>0</v>
      </c>
      <c r="G84" s="57">
        <v>0</v>
      </c>
      <c r="H84" s="50">
        <f>ROUND(+($B$84*$B$62)+$B$84,-3)/3</f>
        <v>139000</v>
      </c>
      <c r="I84" s="57">
        <v>0</v>
      </c>
      <c r="J84" s="57">
        <v>0</v>
      </c>
      <c r="K84" s="50">
        <f>ROUND(+($B$84*$B$62)+$B$84,-3)/3</f>
        <v>139000</v>
      </c>
      <c r="L84" s="57">
        <v>0</v>
      </c>
      <c r="M84" s="57">
        <v>0</v>
      </c>
      <c r="N84" s="57">
        <v>0</v>
      </c>
      <c r="O84" s="384">
        <f t="shared" si="77"/>
        <v>833800</v>
      </c>
      <c r="P84" s="49">
        <f t="shared" si="74"/>
        <v>1.0845</v>
      </c>
    </row>
    <row r="85" spans="1:16" s="31" customFormat="1" x14ac:dyDescent="0.35">
      <c r="A85" s="29" t="s">
        <v>1</v>
      </c>
      <c r="B85" s="319">
        <f t="shared" ref="B85:O85" si="79">+SUM(B86:B106)</f>
        <v>120500000</v>
      </c>
      <c r="C85" s="59">
        <f t="shared" si="79"/>
        <v>7923500</v>
      </c>
      <c r="D85" s="59">
        <f t="shared" si="79"/>
        <v>8183500</v>
      </c>
      <c r="E85" s="59">
        <f t="shared" si="79"/>
        <v>6342500</v>
      </c>
      <c r="F85" s="59">
        <f t="shared" si="79"/>
        <v>13883500</v>
      </c>
      <c r="G85" s="59">
        <f t="shared" si="79"/>
        <v>10883500</v>
      </c>
      <c r="H85" s="59">
        <f t="shared" si="79"/>
        <v>36916500</v>
      </c>
      <c r="I85" s="59">
        <f t="shared" si="79"/>
        <v>5283500</v>
      </c>
      <c r="J85" s="59">
        <f t="shared" si="79"/>
        <v>4283500</v>
      </c>
      <c r="K85" s="59">
        <f t="shared" si="79"/>
        <v>46983500</v>
      </c>
      <c r="L85" s="59">
        <f t="shared" si="79"/>
        <v>3883500</v>
      </c>
      <c r="M85" s="59">
        <f t="shared" si="79"/>
        <v>4383500</v>
      </c>
      <c r="N85" s="59">
        <f t="shared" si="79"/>
        <v>2983500</v>
      </c>
      <c r="O85" s="391">
        <f t="shared" si="79"/>
        <v>151934000</v>
      </c>
      <c r="P85" s="49">
        <f t="shared" si="74"/>
        <v>0.2608630705394191</v>
      </c>
    </row>
    <row r="86" spans="1:16" x14ac:dyDescent="0.35">
      <c r="A86" s="154" t="s">
        <v>2</v>
      </c>
      <c r="B86" s="294">
        <v>20330000</v>
      </c>
      <c r="C86" s="50">
        <f t="shared" ref="C86:N86" si="80">ROUND(+($B$86*$B$62)+$B$86,-3)/12</f>
        <v>1765333.3333333333</v>
      </c>
      <c r="D86" s="50">
        <f t="shared" si="80"/>
        <v>1765333.3333333333</v>
      </c>
      <c r="E86" s="50">
        <f t="shared" si="80"/>
        <v>1765333.3333333333</v>
      </c>
      <c r="F86" s="50">
        <f t="shared" si="80"/>
        <v>1765333.3333333333</v>
      </c>
      <c r="G86" s="50">
        <f t="shared" si="80"/>
        <v>1765333.3333333333</v>
      </c>
      <c r="H86" s="50">
        <f t="shared" si="80"/>
        <v>1765333.3333333333</v>
      </c>
      <c r="I86" s="50">
        <f t="shared" si="80"/>
        <v>1765333.3333333333</v>
      </c>
      <c r="J86" s="50">
        <f t="shared" si="80"/>
        <v>1765333.3333333333</v>
      </c>
      <c r="K86" s="50">
        <f t="shared" si="80"/>
        <v>1765333.3333333333</v>
      </c>
      <c r="L86" s="50">
        <f t="shared" si="80"/>
        <v>1765333.3333333333</v>
      </c>
      <c r="M86" s="50">
        <f t="shared" si="80"/>
        <v>1765333.3333333333</v>
      </c>
      <c r="N86" s="50">
        <f t="shared" si="80"/>
        <v>1765333.3333333333</v>
      </c>
      <c r="O86" s="385">
        <f t="shared" ref="O86:O106" si="81">SUM(C86:N86)</f>
        <v>21184000</v>
      </c>
      <c r="P86" s="49">
        <f t="shared" si="74"/>
        <v>4.2006886374815547E-2</v>
      </c>
    </row>
    <row r="87" spans="1:16" x14ac:dyDescent="0.35">
      <c r="A87" s="154" t="s">
        <v>512</v>
      </c>
      <c r="B87" s="294">
        <v>6808000</v>
      </c>
      <c r="C87" s="50">
        <f t="shared" ref="C87:N87" si="82">ROUND(+($B$87*$B$62)+$B$87,-3)/12</f>
        <v>591166.66666666663</v>
      </c>
      <c r="D87" s="50">
        <f t="shared" si="82"/>
        <v>591166.66666666663</v>
      </c>
      <c r="E87" s="50">
        <f t="shared" si="82"/>
        <v>591166.66666666663</v>
      </c>
      <c r="F87" s="50">
        <f t="shared" si="82"/>
        <v>591166.66666666663</v>
      </c>
      <c r="G87" s="50">
        <f t="shared" si="82"/>
        <v>591166.66666666663</v>
      </c>
      <c r="H87" s="50">
        <f t="shared" si="82"/>
        <v>591166.66666666663</v>
      </c>
      <c r="I87" s="50">
        <f t="shared" si="82"/>
        <v>591166.66666666663</v>
      </c>
      <c r="J87" s="50">
        <f t="shared" si="82"/>
        <v>591166.66666666663</v>
      </c>
      <c r="K87" s="50">
        <f t="shared" si="82"/>
        <v>591166.66666666663</v>
      </c>
      <c r="L87" s="50">
        <f t="shared" si="82"/>
        <v>591166.66666666663</v>
      </c>
      <c r="M87" s="50">
        <f t="shared" si="82"/>
        <v>591166.66666666663</v>
      </c>
      <c r="N87" s="50">
        <f t="shared" si="82"/>
        <v>591166.66666666663</v>
      </c>
      <c r="O87" s="385">
        <f t="shared" ref="O87" si="83">SUM(C87:N87)</f>
        <v>7094000.0000000009</v>
      </c>
      <c r="P87" s="49">
        <f t="shared" si="74"/>
        <v>4.2009400705053018E-2</v>
      </c>
    </row>
    <row r="88" spans="1:16" s="61" customFormat="1" x14ac:dyDescent="0.35">
      <c r="A88" s="247" t="s">
        <v>233</v>
      </c>
      <c r="B88" s="294">
        <v>2540000</v>
      </c>
      <c r="C88" s="50">
        <f>ROUND(+($B$88*$B$62)+$B$88,-3)+2293000</f>
        <v>4940000</v>
      </c>
      <c r="D88" s="60">
        <v>0</v>
      </c>
      <c r="E88" s="322">
        <v>0</v>
      </c>
      <c r="F88" s="5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385">
        <f t="shared" si="81"/>
        <v>4940000</v>
      </c>
      <c r="P88" s="49">
        <f t="shared" si="74"/>
        <v>0.94488188976377951</v>
      </c>
    </row>
    <row r="89" spans="1:16" s="61" customFormat="1" x14ac:dyDescent="0.35">
      <c r="A89" s="247" t="s">
        <v>758</v>
      </c>
      <c r="B89" s="294">
        <v>0</v>
      </c>
      <c r="C89" s="50"/>
      <c r="D89" s="60"/>
      <c r="E89" s="322"/>
      <c r="F89" s="50"/>
      <c r="G89" s="320">
        <v>4000000</v>
      </c>
      <c r="H89" s="60"/>
      <c r="I89" s="60"/>
      <c r="J89" s="60"/>
      <c r="K89" s="60"/>
      <c r="L89" s="60"/>
      <c r="M89" s="60"/>
      <c r="N89" s="60"/>
      <c r="O89" s="385">
        <f t="shared" si="81"/>
        <v>4000000</v>
      </c>
      <c r="P89" s="49">
        <v>1</v>
      </c>
    </row>
    <row r="90" spans="1:16" x14ac:dyDescent="0.35">
      <c r="A90" s="154" t="s">
        <v>364</v>
      </c>
      <c r="B90" s="294">
        <v>4720000</v>
      </c>
      <c r="C90" s="50"/>
      <c r="D90" s="50">
        <v>0</v>
      </c>
      <c r="E90" s="50">
        <f>ROUND(+($B$90*$B$62)+$B$90,-3)/2</f>
        <v>2459000</v>
      </c>
      <c r="F90" s="50"/>
      <c r="G90" s="50">
        <v>0</v>
      </c>
      <c r="H90" s="50">
        <f>ROUND(+($B$90*$B$62)+$B$90,-3)/2</f>
        <v>2459000</v>
      </c>
      <c r="I90" s="58"/>
      <c r="J90" s="50">
        <v>0</v>
      </c>
      <c r="K90" s="58"/>
      <c r="L90" s="50">
        <v>0</v>
      </c>
      <c r="M90" s="50"/>
      <c r="N90" s="50"/>
      <c r="O90" s="385">
        <f t="shared" si="81"/>
        <v>4918000</v>
      </c>
      <c r="P90" s="49">
        <f t="shared" si="74"/>
        <v>4.1949152542372879E-2</v>
      </c>
    </row>
    <row r="91" spans="1:16" x14ac:dyDescent="0.35">
      <c r="A91" s="154" t="s">
        <v>549</v>
      </c>
      <c r="B91" s="294"/>
      <c r="C91" s="50"/>
      <c r="D91" s="50"/>
      <c r="E91" s="58"/>
      <c r="F91" s="50"/>
      <c r="G91" s="50">
        <v>0</v>
      </c>
      <c r="H91" s="50"/>
      <c r="I91" s="50">
        <v>1000000</v>
      </c>
      <c r="J91" s="50"/>
      <c r="K91" s="58"/>
      <c r="L91" s="50"/>
      <c r="M91" s="50">
        <v>0</v>
      </c>
      <c r="N91" s="50"/>
      <c r="O91" s="385">
        <f t="shared" ref="O91:O92" si="84">SUM(C91:N91)</f>
        <v>1000000</v>
      </c>
      <c r="P91" s="49">
        <v>2</v>
      </c>
    </row>
    <row r="92" spans="1:16" x14ac:dyDescent="0.35">
      <c r="A92" s="154" t="s">
        <v>762</v>
      </c>
      <c r="B92" s="294">
        <v>0</v>
      </c>
      <c r="C92" s="50"/>
      <c r="D92" s="50"/>
      <c r="E92" s="50"/>
      <c r="F92" s="50"/>
      <c r="G92" s="50"/>
      <c r="H92" s="50">
        <v>500000</v>
      </c>
      <c r="I92" s="50"/>
      <c r="J92" s="50"/>
      <c r="K92" s="50"/>
      <c r="L92" s="50"/>
      <c r="M92" s="50">
        <v>500000</v>
      </c>
      <c r="N92" s="50"/>
      <c r="O92" s="385">
        <f t="shared" si="84"/>
        <v>1000000</v>
      </c>
      <c r="P92" s="49">
        <v>1</v>
      </c>
    </row>
    <row r="93" spans="1:16" x14ac:dyDescent="0.35">
      <c r="A93" s="154" t="s">
        <v>467</v>
      </c>
      <c r="B93" s="294">
        <v>0</v>
      </c>
      <c r="C93" s="50"/>
      <c r="D93" s="50"/>
      <c r="E93" s="50"/>
      <c r="F93" s="50"/>
      <c r="G93" s="50">
        <v>0</v>
      </c>
      <c r="H93" s="50">
        <v>10000000</v>
      </c>
      <c r="I93" s="50"/>
      <c r="J93" s="50"/>
      <c r="K93" s="50"/>
      <c r="L93" s="50"/>
      <c r="M93" s="50"/>
      <c r="N93" s="50"/>
      <c r="O93" s="385">
        <f t="shared" si="81"/>
        <v>10000000</v>
      </c>
      <c r="P93" s="49">
        <v>1</v>
      </c>
    </row>
    <row r="94" spans="1:16" x14ac:dyDescent="0.35">
      <c r="A94" s="154" t="s">
        <v>468</v>
      </c>
      <c r="B94" s="294">
        <v>0</v>
      </c>
      <c r="C94" s="50"/>
      <c r="D94" s="50"/>
      <c r="E94" s="50">
        <v>0</v>
      </c>
      <c r="F94" s="50" t="s">
        <v>223</v>
      </c>
      <c r="G94" s="50"/>
      <c r="H94" s="50">
        <v>10000000</v>
      </c>
      <c r="I94" s="50"/>
      <c r="J94" s="50"/>
      <c r="K94" s="50"/>
      <c r="L94" s="50"/>
      <c r="M94" s="50"/>
      <c r="N94" s="50"/>
      <c r="O94" s="385">
        <f t="shared" si="81"/>
        <v>10000000</v>
      </c>
      <c r="P94" s="49">
        <v>1</v>
      </c>
    </row>
    <row r="95" spans="1:16" x14ac:dyDescent="0.35">
      <c r="A95" s="154" t="s">
        <v>535</v>
      </c>
      <c r="B95" s="294">
        <v>1738000</v>
      </c>
      <c r="C95" s="320"/>
      <c r="D95" s="50">
        <v>1500000</v>
      </c>
      <c r="E95" s="320"/>
      <c r="F95" s="321"/>
      <c r="G95" s="320"/>
      <c r="H95" s="320"/>
      <c r="I95" s="320"/>
      <c r="J95" s="320"/>
      <c r="K95" s="320">
        <v>1500000</v>
      </c>
      <c r="L95" s="320"/>
      <c r="M95" s="320"/>
      <c r="N95" s="320"/>
      <c r="O95" s="385">
        <f t="shared" si="81"/>
        <v>3000000</v>
      </c>
      <c r="P95" s="49">
        <f t="shared" ref="P95:P99" si="85">+(O95-B95)/B95</f>
        <v>0.72612197928653621</v>
      </c>
    </row>
    <row r="96" spans="1:16" x14ac:dyDescent="0.35">
      <c r="A96" s="154" t="s">
        <v>895</v>
      </c>
      <c r="B96" s="294">
        <v>0</v>
      </c>
      <c r="C96" s="320"/>
      <c r="D96" s="50"/>
      <c r="E96" s="320"/>
      <c r="F96" s="50">
        <v>2000000</v>
      </c>
      <c r="G96" s="320"/>
      <c r="H96" s="320"/>
      <c r="I96" s="320"/>
      <c r="J96" s="320"/>
      <c r="K96" s="320"/>
      <c r="L96" s="320"/>
      <c r="M96" s="320"/>
      <c r="N96" s="320"/>
      <c r="O96" s="385">
        <f t="shared" si="81"/>
        <v>2000000</v>
      </c>
      <c r="P96" s="49">
        <v>1</v>
      </c>
    </row>
    <row r="97" spans="1:16" x14ac:dyDescent="0.35">
      <c r="A97" s="248" t="s">
        <v>463</v>
      </c>
      <c r="B97" s="294">
        <v>39841000</v>
      </c>
      <c r="C97" s="50"/>
      <c r="D97" s="50"/>
      <c r="E97" s="50"/>
      <c r="F97" s="50"/>
      <c r="G97" s="50"/>
      <c r="H97" s="50"/>
      <c r="I97" s="50"/>
      <c r="J97" s="50">
        <v>0</v>
      </c>
      <c r="K97" s="50">
        <v>41600000</v>
      </c>
      <c r="L97" s="58"/>
      <c r="M97" s="50">
        <v>0</v>
      </c>
      <c r="N97" s="50">
        <v>0</v>
      </c>
      <c r="O97" s="385">
        <f t="shared" si="81"/>
        <v>41600000</v>
      </c>
      <c r="P97" s="49">
        <f t="shared" si="85"/>
        <v>4.4150498230466101E-2</v>
      </c>
    </row>
    <row r="98" spans="1:16" x14ac:dyDescent="0.35">
      <c r="A98" s="154" t="s">
        <v>676</v>
      </c>
      <c r="B98" s="294">
        <v>1513000</v>
      </c>
      <c r="C98" s="50"/>
      <c r="D98" s="50">
        <v>2000000</v>
      </c>
      <c r="E98" s="50"/>
      <c r="F98" s="50"/>
      <c r="G98" s="50"/>
      <c r="H98" s="50"/>
      <c r="I98" s="50"/>
      <c r="J98" s="50"/>
      <c r="K98" s="50"/>
      <c r="L98" s="58"/>
      <c r="M98" s="58"/>
      <c r="N98" s="50"/>
      <c r="O98" s="385">
        <f t="shared" si="81"/>
        <v>2000000</v>
      </c>
      <c r="P98" s="49">
        <f t="shared" si="85"/>
        <v>0.32187706543291472</v>
      </c>
    </row>
    <row r="99" spans="1:16" x14ac:dyDescent="0.35">
      <c r="A99" s="154" t="s">
        <v>883</v>
      </c>
      <c r="B99" s="294">
        <v>6800000</v>
      </c>
      <c r="C99" s="50"/>
      <c r="D99" s="50">
        <v>900000</v>
      </c>
      <c r="E99" s="50">
        <v>900000</v>
      </c>
      <c r="F99" s="50">
        <v>8000000</v>
      </c>
      <c r="G99" s="50">
        <v>900000</v>
      </c>
      <c r="H99" s="50">
        <f>900000+8000000</f>
        <v>8900000</v>
      </c>
      <c r="I99" s="50">
        <v>900000</v>
      </c>
      <c r="J99" s="50">
        <v>900000</v>
      </c>
      <c r="K99" s="50">
        <v>900000</v>
      </c>
      <c r="L99" s="50">
        <v>900000</v>
      </c>
      <c r="M99" s="50">
        <v>900000</v>
      </c>
      <c r="N99" s="50">
        <v>0</v>
      </c>
      <c r="O99" s="385">
        <f t="shared" si="81"/>
        <v>24100000</v>
      </c>
      <c r="P99" s="49">
        <f t="shared" si="85"/>
        <v>2.5441176470588234</v>
      </c>
    </row>
    <row r="100" spans="1:16" x14ac:dyDescent="0.35">
      <c r="A100" s="154" t="s">
        <v>677</v>
      </c>
      <c r="B100" s="294">
        <v>990000</v>
      </c>
      <c r="C100" s="50"/>
      <c r="D100" s="50"/>
      <c r="E100" s="50"/>
      <c r="F100" s="50"/>
      <c r="G100" s="50"/>
      <c r="H100" s="50">
        <f>ROUND(+($B$100*$B$62)+$B100,-3)</f>
        <v>1032000</v>
      </c>
      <c r="I100" s="50"/>
      <c r="J100" s="50"/>
      <c r="K100" s="50"/>
      <c r="L100" s="58"/>
      <c r="M100" s="58"/>
      <c r="N100" s="50"/>
      <c r="O100" s="385">
        <f t="shared" si="81"/>
        <v>1032000</v>
      </c>
      <c r="P100" s="49">
        <f t="shared" ref="P100:P101" si="86">+(O100-B100)/B100</f>
        <v>4.2424242424242427E-2</v>
      </c>
    </row>
    <row r="101" spans="1:16" x14ac:dyDescent="0.35">
      <c r="A101" s="154" t="s">
        <v>678</v>
      </c>
      <c r="B101" s="294">
        <v>1000000</v>
      </c>
      <c r="C101" s="50"/>
      <c r="D101" s="50"/>
      <c r="E101" s="50"/>
      <c r="F101" s="50"/>
      <c r="G101" s="50"/>
      <c r="H101" s="50">
        <f>ROUND(+($B$101*$B$62)+$B101,-3)</f>
        <v>1042000</v>
      </c>
      <c r="I101" s="50"/>
      <c r="J101" s="50"/>
      <c r="K101" s="50"/>
      <c r="L101" s="58"/>
      <c r="M101" s="58"/>
      <c r="N101" s="50"/>
      <c r="O101" s="385">
        <f t="shared" si="81"/>
        <v>1042000</v>
      </c>
      <c r="P101" s="49">
        <f t="shared" si="86"/>
        <v>4.2000000000000003E-2</v>
      </c>
    </row>
    <row r="102" spans="1:16" x14ac:dyDescent="0.35">
      <c r="A102" s="154" t="s">
        <v>587</v>
      </c>
      <c r="B102" s="294">
        <v>34000000</v>
      </c>
      <c r="C102" s="50"/>
      <c r="D102" s="50"/>
      <c r="E102" s="50">
        <v>0</v>
      </c>
      <c r="F102" s="50"/>
      <c r="G102" s="50"/>
      <c r="H102" s="50"/>
      <c r="I102" s="50"/>
      <c r="J102" s="50"/>
      <c r="K102" s="50"/>
      <c r="L102" s="58"/>
      <c r="M102" s="58"/>
      <c r="N102" s="50"/>
      <c r="O102" s="385">
        <f t="shared" si="81"/>
        <v>0</v>
      </c>
      <c r="P102" s="49">
        <v>1</v>
      </c>
    </row>
    <row r="103" spans="1:16" x14ac:dyDescent="0.35">
      <c r="A103" s="154" t="s">
        <v>908</v>
      </c>
      <c r="B103" s="294">
        <v>0</v>
      </c>
      <c r="C103" s="50">
        <v>627000</v>
      </c>
      <c r="D103" s="50">
        <v>627000</v>
      </c>
      <c r="E103" s="50">
        <v>627000</v>
      </c>
      <c r="F103" s="50">
        <v>627000</v>
      </c>
      <c r="G103" s="50">
        <v>627000</v>
      </c>
      <c r="H103" s="50">
        <v>627000</v>
      </c>
      <c r="I103" s="50">
        <v>627000</v>
      </c>
      <c r="J103" s="50">
        <v>627000</v>
      </c>
      <c r="K103" s="50">
        <v>627000</v>
      </c>
      <c r="L103" s="50">
        <v>627000</v>
      </c>
      <c r="M103" s="50">
        <v>627000</v>
      </c>
      <c r="N103" s="50">
        <v>627000</v>
      </c>
      <c r="O103" s="385">
        <f t="shared" si="81"/>
        <v>7524000</v>
      </c>
      <c r="P103" s="49">
        <v>1</v>
      </c>
    </row>
    <row r="104" spans="1:16" x14ac:dyDescent="0.35">
      <c r="A104" s="154" t="s">
        <v>766</v>
      </c>
      <c r="B104" s="294"/>
      <c r="C104" s="50"/>
      <c r="D104" s="50"/>
      <c r="E104" s="50"/>
      <c r="F104" s="50">
        <v>900000</v>
      </c>
      <c r="G104" s="50"/>
      <c r="H104" s="50"/>
      <c r="I104" s="50"/>
      <c r="J104" s="50"/>
      <c r="K104" s="50"/>
      <c r="L104" s="58"/>
      <c r="M104" s="58"/>
      <c r="N104" s="50"/>
      <c r="O104" s="385">
        <f t="shared" si="81"/>
        <v>900000</v>
      </c>
      <c r="P104" s="49">
        <v>1</v>
      </c>
    </row>
    <row r="105" spans="1:16" x14ac:dyDescent="0.35">
      <c r="A105" s="154" t="s">
        <v>764</v>
      </c>
      <c r="B105" s="294">
        <v>220000</v>
      </c>
      <c r="C105" s="50">
        <v>0</v>
      </c>
      <c r="D105" s="50">
        <v>800000</v>
      </c>
      <c r="E105" s="50">
        <v>0</v>
      </c>
      <c r="F105" s="50">
        <v>0</v>
      </c>
      <c r="G105" s="50">
        <v>0</v>
      </c>
      <c r="H105" s="50">
        <v>0</v>
      </c>
      <c r="I105" s="50">
        <v>400000</v>
      </c>
      <c r="J105" s="50">
        <v>400000</v>
      </c>
      <c r="K105" s="50">
        <v>0</v>
      </c>
      <c r="L105" s="50">
        <v>0</v>
      </c>
      <c r="M105" s="50">
        <v>0</v>
      </c>
      <c r="N105" s="50">
        <v>0</v>
      </c>
      <c r="O105" s="385">
        <f t="shared" si="81"/>
        <v>1600000</v>
      </c>
      <c r="P105" s="49">
        <v>1</v>
      </c>
    </row>
    <row r="106" spans="1:16" x14ac:dyDescent="0.35">
      <c r="A106" s="154" t="s">
        <v>365</v>
      </c>
      <c r="B106" s="294">
        <v>0</v>
      </c>
      <c r="C106" s="50"/>
      <c r="D106" s="50">
        <v>0</v>
      </c>
      <c r="E106" s="50">
        <v>0</v>
      </c>
      <c r="F106" s="50">
        <v>0</v>
      </c>
      <c r="G106" s="50">
        <v>3000000</v>
      </c>
      <c r="H106" s="50">
        <v>0</v>
      </c>
      <c r="I106" s="50">
        <v>0</v>
      </c>
      <c r="J106" s="50">
        <v>0</v>
      </c>
      <c r="K106" s="50">
        <v>0</v>
      </c>
      <c r="L106" s="58"/>
      <c r="M106" s="58"/>
      <c r="N106" s="58"/>
      <c r="O106" s="385">
        <f t="shared" si="81"/>
        <v>3000000</v>
      </c>
      <c r="P106" s="49">
        <v>1</v>
      </c>
    </row>
    <row r="107" spans="1:16" x14ac:dyDescent="0.35">
      <c r="A107" s="29" t="s">
        <v>5</v>
      </c>
      <c r="B107" s="300">
        <f>+B108+B109+B110</f>
        <v>78281257</v>
      </c>
      <c r="C107" s="30">
        <f>+C108+C109+C110</f>
        <v>17302000</v>
      </c>
      <c r="D107" s="30">
        <f t="shared" ref="D107:O107" si="87">+D108+D109+D110</f>
        <v>5551000</v>
      </c>
      <c r="E107" s="30">
        <f t="shared" si="87"/>
        <v>10832000</v>
      </c>
      <c r="F107" s="30">
        <f t="shared" si="87"/>
        <v>7415000</v>
      </c>
      <c r="G107" s="30">
        <f t="shared" si="87"/>
        <v>4671000</v>
      </c>
      <c r="H107" s="30">
        <f t="shared" si="87"/>
        <v>7438000</v>
      </c>
      <c r="I107" s="30">
        <f t="shared" si="87"/>
        <v>9448000</v>
      </c>
      <c r="J107" s="30">
        <f t="shared" si="87"/>
        <v>6968000</v>
      </c>
      <c r="K107" s="30">
        <f t="shared" si="87"/>
        <v>6564000</v>
      </c>
      <c r="L107" s="30">
        <f t="shared" si="87"/>
        <v>4811000</v>
      </c>
      <c r="M107" s="30">
        <f t="shared" si="87"/>
        <v>286000</v>
      </c>
      <c r="N107" s="30">
        <f t="shared" si="87"/>
        <v>286000</v>
      </c>
      <c r="O107" s="391">
        <f t="shared" si="87"/>
        <v>81572000</v>
      </c>
      <c r="P107" s="38">
        <f t="shared" ref="P107" si="88">+(O107-B107)/B107</f>
        <v>4.2037431769906299E-2</v>
      </c>
    </row>
    <row r="108" spans="1:16" x14ac:dyDescent="0.35">
      <c r="A108" s="249" t="s">
        <v>6</v>
      </c>
      <c r="B108" s="298">
        <v>9074000</v>
      </c>
      <c r="C108" s="62">
        <f>ROUND(((+$B$108*$B$62)+$B$108),-3)</f>
        <v>9455000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385">
        <f t="shared" ref="O108:O113" si="89">SUM(C108:N108)</f>
        <v>9455000</v>
      </c>
      <c r="P108" s="49">
        <f t="shared" ref="P108:P109" si="90">+(O108-B108)/B108</f>
        <v>4.1988097862023364E-2</v>
      </c>
    </row>
    <row r="109" spans="1:16" x14ac:dyDescent="0.35">
      <c r="A109" s="249" t="s">
        <v>422</v>
      </c>
      <c r="B109" s="298">
        <v>2004100</v>
      </c>
      <c r="C109" s="62">
        <v>0</v>
      </c>
      <c r="D109" s="62">
        <v>0</v>
      </c>
      <c r="E109" s="62">
        <v>0</v>
      </c>
      <c r="F109" s="62">
        <f>ROUND(((+$B$109*$B$62)+$B$109),-3)</f>
        <v>2088000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385">
        <f t="shared" si="89"/>
        <v>2088000</v>
      </c>
      <c r="P109" s="49">
        <f t="shared" si="90"/>
        <v>4.1864178434209871E-2</v>
      </c>
    </row>
    <row r="110" spans="1:16" x14ac:dyDescent="0.35">
      <c r="A110" s="250" t="s">
        <v>234</v>
      </c>
      <c r="B110" s="315">
        <f t="shared" ref="B110:O110" si="91">SUM(B111:B113)</f>
        <v>67203157</v>
      </c>
      <c r="C110" s="63">
        <f t="shared" si="91"/>
        <v>7847000</v>
      </c>
      <c r="D110" s="63">
        <f t="shared" si="91"/>
        <v>5551000</v>
      </c>
      <c r="E110" s="63">
        <f t="shared" si="91"/>
        <v>10832000</v>
      </c>
      <c r="F110" s="63">
        <f t="shared" si="91"/>
        <v>5327000</v>
      </c>
      <c r="G110" s="63">
        <f t="shared" si="91"/>
        <v>4671000</v>
      </c>
      <c r="H110" s="63">
        <f t="shared" si="91"/>
        <v>7438000</v>
      </c>
      <c r="I110" s="63">
        <f t="shared" si="91"/>
        <v>9448000</v>
      </c>
      <c r="J110" s="63">
        <f t="shared" si="91"/>
        <v>6968000</v>
      </c>
      <c r="K110" s="63">
        <f t="shared" si="91"/>
        <v>6564000</v>
      </c>
      <c r="L110" s="63">
        <f t="shared" si="91"/>
        <v>4811000</v>
      </c>
      <c r="M110" s="63">
        <f t="shared" si="91"/>
        <v>286000</v>
      </c>
      <c r="N110" s="63">
        <f t="shared" si="91"/>
        <v>286000</v>
      </c>
      <c r="O110" s="391">
        <f t="shared" si="91"/>
        <v>70029000</v>
      </c>
      <c r="P110" s="38">
        <f t="shared" ref="P110:P112" si="92">+(O110-B110)/B110</f>
        <v>4.204925967986891E-2</v>
      </c>
    </row>
    <row r="111" spans="1:16" x14ac:dyDescent="0.35">
      <c r="A111" s="155" t="s">
        <v>235</v>
      </c>
      <c r="B111" s="298">
        <v>0</v>
      </c>
      <c r="C111" s="62">
        <f t="shared" ref="C111:N111" si="93">ROUND(((+$B$111*$B$62)+$B$111)/12,-3)</f>
        <v>0</v>
      </c>
      <c r="D111" s="62">
        <f t="shared" si="93"/>
        <v>0</v>
      </c>
      <c r="E111" s="62">
        <f t="shared" si="93"/>
        <v>0</v>
      </c>
      <c r="F111" s="62">
        <f t="shared" si="93"/>
        <v>0</v>
      </c>
      <c r="G111" s="62">
        <f t="shared" si="93"/>
        <v>0</v>
      </c>
      <c r="H111" s="62">
        <f t="shared" si="93"/>
        <v>0</v>
      </c>
      <c r="I111" s="62">
        <f t="shared" si="93"/>
        <v>0</v>
      </c>
      <c r="J111" s="62">
        <f t="shared" si="93"/>
        <v>0</v>
      </c>
      <c r="K111" s="62">
        <f t="shared" si="93"/>
        <v>0</v>
      </c>
      <c r="L111" s="62">
        <f t="shared" si="93"/>
        <v>0</v>
      </c>
      <c r="M111" s="62">
        <f t="shared" si="93"/>
        <v>0</v>
      </c>
      <c r="N111" s="62">
        <f t="shared" si="93"/>
        <v>0</v>
      </c>
      <c r="O111" s="385">
        <f t="shared" si="89"/>
        <v>0</v>
      </c>
      <c r="P111" s="251">
        <v>0</v>
      </c>
    </row>
    <row r="112" spans="1:16" x14ac:dyDescent="0.35">
      <c r="A112" s="155" t="s">
        <v>236</v>
      </c>
      <c r="B112" s="298">
        <f>+O551</f>
        <v>66932471</v>
      </c>
      <c r="C112" s="62">
        <f>ROUND(((+$C$551*$B$62)+$C$551),-3)</f>
        <v>7846000</v>
      </c>
      <c r="D112" s="62">
        <f>ROUND(((+$D$551*$B$62)+$D$551),-3)</f>
        <v>5547000</v>
      </c>
      <c r="E112" s="62">
        <f>ROUND(((+$E$551*$B$62)+$E$551),-3)</f>
        <v>10805000</v>
      </c>
      <c r="F112" s="62">
        <f>ROUND(((+$F$551*$B$62)+$F$551),-3)</f>
        <v>5313000</v>
      </c>
      <c r="G112" s="62">
        <f>ROUND(((+$G$551*$B$62)+$G$551),-3)</f>
        <v>4655000</v>
      </c>
      <c r="H112" s="62">
        <f>ROUND(((+$H$551*$B$62)+$H$551),-3)</f>
        <v>7432000</v>
      </c>
      <c r="I112" s="62">
        <f>ROUND(((+$I$551*$B$62)+$I$551),-3)</f>
        <v>9404000</v>
      </c>
      <c r="J112" s="62">
        <f>ROUND(((+$J$551*$B$62)+$J$551),-3)</f>
        <v>6937000</v>
      </c>
      <c r="K112" s="62">
        <f>ROUND(((+$K$551*$B$62)+$K$551),-3)</f>
        <v>6436000</v>
      </c>
      <c r="L112" s="62">
        <f>ROUND(((+$L$551*$B$62)+$L$551),-3)</f>
        <v>4800000</v>
      </c>
      <c r="M112" s="62">
        <f>ROUND(((+$M$551*$B$62)+$M$551),-3)</f>
        <v>286000</v>
      </c>
      <c r="N112" s="62">
        <f>ROUND(((+$N$551*$B$62)+$N$551),-3)</f>
        <v>286000</v>
      </c>
      <c r="O112" s="385">
        <f t="shared" si="89"/>
        <v>69747000</v>
      </c>
      <c r="P112" s="49">
        <f t="shared" si="92"/>
        <v>4.2050277809107035E-2</v>
      </c>
    </row>
    <row r="113" spans="1:16" x14ac:dyDescent="0.35">
      <c r="A113" s="155" t="s">
        <v>261</v>
      </c>
      <c r="B113" s="298">
        <f>+O552</f>
        <v>270686</v>
      </c>
      <c r="C113" s="62">
        <f t="shared" ref="C113:N113" si="94">ROUND(((+C552*$B$62)+C552),-3)</f>
        <v>1000</v>
      </c>
      <c r="D113" s="62">
        <f t="shared" si="94"/>
        <v>4000</v>
      </c>
      <c r="E113" s="62">
        <f t="shared" si="94"/>
        <v>27000</v>
      </c>
      <c r="F113" s="62">
        <f t="shared" si="94"/>
        <v>14000</v>
      </c>
      <c r="G113" s="62">
        <f t="shared" si="94"/>
        <v>16000</v>
      </c>
      <c r="H113" s="62">
        <f t="shared" si="94"/>
        <v>6000</v>
      </c>
      <c r="I113" s="62">
        <f t="shared" si="94"/>
        <v>44000</v>
      </c>
      <c r="J113" s="62">
        <f t="shared" si="94"/>
        <v>31000</v>
      </c>
      <c r="K113" s="62">
        <f t="shared" si="94"/>
        <v>128000</v>
      </c>
      <c r="L113" s="62">
        <f t="shared" si="94"/>
        <v>11000</v>
      </c>
      <c r="M113" s="62">
        <f t="shared" si="94"/>
        <v>0</v>
      </c>
      <c r="N113" s="62">
        <f t="shared" si="94"/>
        <v>0</v>
      </c>
      <c r="O113" s="385">
        <f t="shared" si="89"/>
        <v>282000</v>
      </c>
      <c r="P113" s="49">
        <f t="shared" ref="P113:P114" si="95">+(O113-B113)/B113</f>
        <v>4.1797507074617823E-2</v>
      </c>
    </row>
    <row r="114" spans="1:16" x14ac:dyDescent="0.35">
      <c r="A114" s="29" t="s">
        <v>7</v>
      </c>
      <c r="B114" s="319">
        <f>+B115+B121+B126+B133</f>
        <v>106352000</v>
      </c>
      <c r="C114" s="59">
        <f t="shared" ref="C114:N114" si="96">+C115+C121+C126+B133</f>
        <v>9411250</v>
      </c>
      <c r="D114" s="59">
        <f t="shared" si="96"/>
        <v>9211250</v>
      </c>
      <c r="E114" s="59">
        <f t="shared" si="96"/>
        <v>9245916.666666666</v>
      </c>
      <c r="F114" s="59">
        <f>+F115+F121+F126+E133</f>
        <v>10561249.999999998</v>
      </c>
      <c r="G114" s="59">
        <f t="shared" si="96"/>
        <v>9245916.666666666</v>
      </c>
      <c r="H114" s="59">
        <f t="shared" si="96"/>
        <v>9211250</v>
      </c>
      <c r="I114" s="59">
        <f t="shared" si="96"/>
        <v>9245916.666666666</v>
      </c>
      <c r="J114" s="59">
        <f t="shared" si="96"/>
        <v>9211250</v>
      </c>
      <c r="K114" s="59">
        <f t="shared" si="96"/>
        <v>9395916.666666666</v>
      </c>
      <c r="L114" s="59">
        <f t="shared" si="96"/>
        <v>9361250</v>
      </c>
      <c r="M114" s="59">
        <f t="shared" si="96"/>
        <v>9245916.666666666</v>
      </c>
      <c r="N114" s="59">
        <f t="shared" si="96"/>
        <v>9211250</v>
      </c>
      <c r="O114" s="391">
        <f>+O115+O121+O126+O133</f>
        <v>112393000</v>
      </c>
      <c r="P114" s="49">
        <f t="shared" si="95"/>
        <v>5.6801940725139159E-2</v>
      </c>
    </row>
    <row r="115" spans="1:16" x14ac:dyDescent="0.35">
      <c r="A115" s="29" t="s">
        <v>8</v>
      </c>
      <c r="B115" s="300">
        <f t="shared" ref="B115:O115" si="97">SUM(B116:B120)</f>
        <v>26862000</v>
      </c>
      <c r="C115" s="30">
        <f t="shared" si="97"/>
        <v>2326500</v>
      </c>
      <c r="D115" s="50">
        <f t="shared" si="97"/>
        <v>2326500</v>
      </c>
      <c r="E115" s="50">
        <f t="shared" si="97"/>
        <v>2326500</v>
      </c>
      <c r="F115" s="50">
        <f t="shared" si="97"/>
        <v>2326500</v>
      </c>
      <c r="G115" s="50">
        <f t="shared" si="97"/>
        <v>2326500</v>
      </c>
      <c r="H115" s="50">
        <f t="shared" si="97"/>
        <v>2326500</v>
      </c>
      <c r="I115" s="50">
        <f t="shared" si="97"/>
        <v>2326500</v>
      </c>
      <c r="J115" s="50">
        <f t="shared" si="97"/>
        <v>2326500</v>
      </c>
      <c r="K115" s="50">
        <f t="shared" si="97"/>
        <v>2476500</v>
      </c>
      <c r="L115" s="50">
        <f t="shared" si="97"/>
        <v>2476500</v>
      </c>
      <c r="M115" s="50">
        <f t="shared" si="97"/>
        <v>2326500</v>
      </c>
      <c r="N115" s="50">
        <f t="shared" si="97"/>
        <v>2326500</v>
      </c>
      <c r="O115" s="391">
        <f t="shared" si="97"/>
        <v>28218000</v>
      </c>
      <c r="P115" s="49">
        <f t="shared" ref="P115:P122" si="98">+(O115-B115)/B115</f>
        <v>5.048023229841412E-2</v>
      </c>
    </row>
    <row r="116" spans="1:16" x14ac:dyDescent="0.35">
      <c r="A116" s="154" t="s">
        <v>9</v>
      </c>
      <c r="B116" s="294">
        <v>9420000</v>
      </c>
      <c r="C116" s="62">
        <f t="shared" ref="C116:N116" si="99">ROUND(((+$B$116*$B$62)+$B$116),-3)/12</f>
        <v>818000</v>
      </c>
      <c r="D116" s="62">
        <f t="shared" si="99"/>
        <v>818000</v>
      </c>
      <c r="E116" s="62">
        <f t="shared" si="99"/>
        <v>818000</v>
      </c>
      <c r="F116" s="62">
        <f t="shared" si="99"/>
        <v>818000</v>
      </c>
      <c r="G116" s="62">
        <f t="shared" si="99"/>
        <v>818000</v>
      </c>
      <c r="H116" s="62">
        <f t="shared" si="99"/>
        <v>818000</v>
      </c>
      <c r="I116" s="62">
        <f t="shared" si="99"/>
        <v>818000</v>
      </c>
      <c r="J116" s="62">
        <f t="shared" si="99"/>
        <v>818000</v>
      </c>
      <c r="K116" s="62">
        <f t="shared" si="99"/>
        <v>818000</v>
      </c>
      <c r="L116" s="62">
        <f t="shared" si="99"/>
        <v>818000</v>
      </c>
      <c r="M116" s="62">
        <f t="shared" si="99"/>
        <v>818000</v>
      </c>
      <c r="N116" s="62">
        <f t="shared" si="99"/>
        <v>818000</v>
      </c>
      <c r="O116" s="385">
        <f t="shared" ref="O116:O132" si="100">SUM(C116:N116)</f>
        <v>9816000</v>
      </c>
      <c r="P116" s="49">
        <f t="shared" si="98"/>
        <v>4.2038216560509552E-2</v>
      </c>
    </row>
    <row r="117" spans="1:16" x14ac:dyDescent="0.35">
      <c r="A117" s="154" t="s">
        <v>262</v>
      </c>
      <c r="B117" s="294">
        <v>2090000</v>
      </c>
      <c r="C117" s="62">
        <f t="shared" ref="C117:N117" si="101">ROUND(((+$B$117*$B$62)+$B$117),-3)/12</f>
        <v>181500</v>
      </c>
      <c r="D117" s="62">
        <f t="shared" si="101"/>
        <v>181500</v>
      </c>
      <c r="E117" s="62">
        <f t="shared" si="101"/>
        <v>181500</v>
      </c>
      <c r="F117" s="62">
        <f t="shared" si="101"/>
        <v>181500</v>
      </c>
      <c r="G117" s="62">
        <f t="shared" si="101"/>
        <v>181500</v>
      </c>
      <c r="H117" s="62">
        <f t="shared" si="101"/>
        <v>181500</v>
      </c>
      <c r="I117" s="62">
        <f t="shared" si="101"/>
        <v>181500</v>
      </c>
      <c r="J117" s="62">
        <f t="shared" si="101"/>
        <v>181500</v>
      </c>
      <c r="K117" s="62">
        <f t="shared" si="101"/>
        <v>181500</v>
      </c>
      <c r="L117" s="62">
        <f t="shared" si="101"/>
        <v>181500</v>
      </c>
      <c r="M117" s="62">
        <f t="shared" si="101"/>
        <v>181500</v>
      </c>
      <c r="N117" s="62">
        <f t="shared" si="101"/>
        <v>181500</v>
      </c>
      <c r="O117" s="385">
        <f t="shared" si="100"/>
        <v>2178000</v>
      </c>
      <c r="P117" s="49">
        <f t="shared" si="98"/>
        <v>4.2105263157894736E-2</v>
      </c>
    </row>
    <row r="118" spans="1:16" x14ac:dyDescent="0.35">
      <c r="A118" s="154" t="s">
        <v>10</v>
      </c>
      <c r="B118" s="294">
        <v>9600000</v>
      </c>
      <c r="C118" s="62">
        <f t="shared" ref="C118:N118" si="102">ROUND(((+$B$118*$B$62)+$B$118),-3)/12</f>
        <v>833583.33333333337</v>
      </c>
      <c r="D118" s="62">
        <f t="shared" si="102"/>
        <v>833583.33333333337</v>
      </c>
      <c r="E118" s="62">
        <f t="shared" si="102"/>
        <v>833583.33333333337</v>
      </c>
      <c r="F118" s="62">
        <f t="shared" si="102"/>
        <v>833583.33333333337</v>
      </c>
      <c r="G118" s="62">
        <f t="shared" si="102"/>
        <v>833583.33333333337</v>
      </c>
      <c r="H118" s="62">
        <f t="shared" si="102"/>
        <v>833583.33333333337</v>
      </c>
      <c r="I118" s="62">
        <f t="shared" si="102"/>
        <v>833583.33333333337</v>
      </c>
      <c r="J118" s="62">
        <f t="shared" si="102"/>
        <v>833583.33333333337</v>
      </c>
      <c r="K118" s="62">
        <f t="shared" si="102"/>
        <v>833583.33333333337</v>
      </c>
      <c r="L118" s="62">
        <f t="shared" si="102"/>
        <v>833583.33333333337</v>
      </c>
      <c r="M118" s="62">
        <f t="shared" si="102"/>
        <v>833583.33333333337</v>
      </c>
      <c r="N118" s="62">
        <f t="shared" si="102"/>
        <v>833583.33333333337</v>
      </c>
      <c r="O118" s="385">
        <f t="shared" si="100"/>
        <v>10003000</v>
      </c>
      <c r="P118" s="49">
        <f t="shared" si="98"/>
        <v>4.1979166666666665E-2</v>
      </c>
    </row>
    <row r="119" spans="1:16" x14ac:dyDescent="0.35">
      <c r="A119" s="248" t="s">
        <v>461</v>
      </c>
      <c r="B119" s="294">
        <v>70000</v>
      </c>
      <c r="C119" s="62"/>
      <c r="D119" s="62"/>
      <c r="E119" s="62"/>
      <c r="F119" s="62"/>
      <c r="G119" s="62"/>
      <c r="H119" s="62"/>
      <c r="I119" s="62"/>
      <c r="J119" s="62"/>
      <c r="K119" s="62">
        <v>150000</v>
      </c>
      <c r="L119" s="62">
        <v>150000</v>
      </c>
      <c r="M119" s="62"/>
      <c r="N119" s="62">
        <v>0</v>
      </c>
      <c r="O119" s="385">
        <f t="shared" si="100"/>
        <v>300000</v>
      </c>
      <c r="P119" s="49">
        <f t="shared" si="98"/>
        <v>3.2857142857142856</v>
      </c>
    </row>
    <row r="120" spans="1:16" x14ac:dyDescent="0.35">
      <c r="A120" s="154" t="s">
        <v>423</v>
      </c>
      <c r="B120" s="294">
        <v>5682000</v>
      </c>
      <c r="C120" s="62">
        <f t="shared" ref="C120:N120" si="103">ROUND(((+$B$120*$B$62)+$B$120),-3)/12</f>
        <v>493416.66666666669</v>
      </c>
      <c r="D120" s="62">
        <f t="shared" si="103"/>
        <v>493416.66666666669</v>
      </c>
      <c r="E120" s="62">
        <f t="shared" si="103"/>
        <v>493416.66666666669</v>
      </c>
      <c r="F120" s="62">
        <f t="shared" si="103"/>
        <v>493416.66666666669</v>
      </c>
      <c r="G120" s="62">
        <f t="shared" si="103"/>
        <v>493416.66666666669</v>
      </c>
      <c r="H120" s="62">
        <f t="shared" si="103"/>
        <v>493416.66666666669</v>
      </c>
      <c r="I120" s="62">
        <f t="shared" si="103"/>
        <v>493416.66666666669</v>
      </c>
      <c r="J120" s="62">
        <f t="shared" si="103"/>
        <v>493416.66666666669</v>
      </c>
      <c r="K120" s="62">
        <f t="shared" si="103"/>
        <v>493416.66666666669</v>
      </c>
      <c r="L120" s="62">
        <f t="shared" si="103"/>
        <v>493416.66666666669</v>
      </c>
      <c r="M120" s="62">
        <f t="shared" si="103"/>
        <v>493416.66666666669</v>
      </c>
      <c r="N120" s="62">
        <f t="shared" si="103"/>
        <v>493416.66666666669</v>
      </c>
      <c r="O120" s="385">
        <f t="shared" si="100"/>
        <v>5921000.0000000009</v>
      </c>
      <c r="P120" s="49">
        <f t="shared" si="98"/>
        <v>4.2062653995072322E-2</v>
      </c>
    </row>
    <row r="121" spans="1:16" x14ac:dyDescent="0.35">
      <c r="A121" s="29" t="s">
        <v>469</v>
      </c>
      <c r="B121" s="300">
        <f t="shared" ref="B121:O121" si="104">SUM(B122:B125)</f>
        <v>61220000</v>
      </c>
      <c r="C121" s="30">
        <f t="shared" si="104"/>
        <v>5315833.333333333</v>
      </c>
      <c r="D121" s="30">
        <f t="shared" si="104"/>
        <v>5315833.333333333</v>
      </c>
      <c r="E121" s="30">
        <f t="shared" si="104"/>
        <v>5315833.333333333</v>
      </c>
      <c r="F121" s="30">
        <f t="shared" si="104"/>
        <v>6665833.333333333</v>
      </c>
      <c r="G121" s="30">
        <f t="shared" si="104"/>
        <v>5315833.333333333</v>
      </c>
      <c r="H121" s="30">
        <f t="shared" si="104"/>
        <v>5315833.333333333</v>
      </c>
      <c r="I121" s="30">
        <f t="shared" si="104"/>
        <v>5315833.333333333</v>
      </c>
      <c r="J121" s="30">
        <f t="shared" si="104"/>
        <v>5315833.333333333</v>
      </c>
      <c r="K121" s="30">
        <f t="shared" si="104"/>
        <v>5315833.333333333</v>
      </c>
      <c r="L121" s="30">
        <f t="shared" si="104"/>
        <v>5315833.333333333</v>
      </c>
      <c r="M121" s="30">
        <f t="shared" si="104"/>
        <v>5315833.333333333</v>
      </c>
      <c r="N121" s="30">
        <f t="shared" si="104"/>
        <v>5315833.333333333</v>
      </c>
      <c r="O121" s="391">
        <f t="shared" si="104"/>
        <v>65140000</v>
      </c>
      <c r="P121" s="38">
        <f t="shared" si="98"/>
        <v>6.4031362299901987E-2</v>
      </c>
    </row>
    <row r="122" spans="1:16" x14ac:dyDescent="0.35">
      <c r="A122" s="154" t="s">
        <v>366</v>
      </c>
      <c r="B122" s="294">
        <v>37200000</v>
      </c>
      <c r="C122" s="62">
        <f t="shared" ref="C122:N122" si="105">ROUND(((+$B$122*$B$62)+$B$122),-3)/12</f>
        <v>3230166.6666666665</v>
      </c>
      <c r="D122" s="62">
        <f t="shared" si="105"/>
        <v>3230166.6666666665</v>
      </c>
      <c r="E122" s="62">
        <f t="shared" si="105"/>
        <v>3230166.6666666665</v>
      </c>
      <c r="F122" s="62">
        <f t="shared" si="105"/>
        <v>3230166.6666666665</v>
      </c>
      <c r="G122" s="62">
        <f t="shared" si="105"/>
        <v>3230166.6666666665</v>
      </c>
      <c r="H122" s="62">
        <f t="shared" si="105"/>
        <v>3230166.6666666665</v>
      </c>
      <c r="I122" s="62">
        <f t="shared" si="105"/>
        <v>3230166.6666666665</v>
      </c>
      <c r="J122" s="62">
        <f t="shared" si="105"/>
        <v>3230166.6666666665</v>
      </c>
      <c r="K122" s="62">
        <f t="shared" si="105"/>
        <v>3230166.6666666665</v>
      </c>
      <c r="L122" s="62">
        <f t="shared" si="105"/>
        <v>3230166.6666666665</v>
      </c>
      <c r="M122" s="62">
        <f t="shared" si="105"/>
        <v>3230166.6666666665</v>
      </c>
      <c r="N122" s="62">
        <f t="shared" si="105"/>
        <v>3230166.6666666665</v>
      </c>
      <c r="O122" s="385">
        <f t="shared" si="100"/>
        <v>38762000</v>
      </c>
      <c r="P122" s="49">
        <f t="shared" si="98"/>
        <v>4.198924731182796E-2</v>
      </c>
    </row>
    <row r="123" spans="1:16" x14ac:dyDescent="0.35">
      <c r="A123" s="154" t="s">
        <v>263</v>
      </c>
      <c r="B123" s="294">
        <v>10320000</v>
      </c>
      <c r="C123" s="62">
        <f t="shared" ref="C123:N123" si="106">ROUND(((+$B$123*$B$62)+$B$123),-3)/12</f>
        <v>896083.33333333337</v>
      </c>
      <c r="D123" s="62">
        <f t="shared" si="106"/>
        <v>896083.33333333337</v>
      </c>
      <c r="E123" s="62">
        <f t="shared" si="106"/>
        <v>896083.33333333337</v>
      </c>
      <c r="F123" s="62">
        <f t="shared" si="106"/>
        <v>896083.33333333337</v>
      </c>
      <c r="G123" s="62">
        <f t="shared" si="106"/>
        <v>896083.33333333337</v>
      </c>
      <c r="H123" s="62">
        <f t="shared" si="106"/>
        <v>896083.33333333337</v>
      </c>
      <c r="I123" s="62">
        <f t="shared" si="106"/>
        <v>896083.33333333337</v>
      </c>
      <c r="J123" s="62">
        <f t="shared" si="106"/>
        <v>896083.33333333337</v>
      </c>
      <c r="K123" s="62">
        <f t="shared" si="106"/>
        <v>896083.33333333337</v>
      </c>
      <c r="L123" s="62">
        <f t="shared" si="106"/>
        <v>896083.33333333337</v>
      </c>
      <c r="M123" s="62">
        <f t="shared" si="106"/>
        <v>896083.33333333337</v>
      </c>
      <c r="N123" s="62">
        <f t="shared" si="106"/>
        <v>896083.33333333337</v>
      </c>
      <c r="O123" s="385">
        <f t="shared" si="100"/>
        <v>10753000</v>
      </c>
      <c r="P123" s="49">
        <f t="shared" ref="P123" si="107">+(O123-B123)/B123</f>
        <v>4.1957364341085268E-2</v>
      </c>
    </row>
    <row r="124" spans="1:16" x14ac:dyDescent="0.35">
      <c r="A124" s="252" t="s">
        <v>443</v>
      </c>
      <c r="B124" s="294">
        <v>0</v>
      </c>
      <c r="C124" s="62">
        <v>0</v>
      </c>
      <c r="D124" s="62">
        <v>0</v>
      </c>
      <c r="E124" s="62">
        <v>0</v>
      </c>
      <c r="F124" s="62">
        <v>1350000</v>
      </c>
      <c r="G124" s="62">
        <v>0</v>
      </c>
      <c r="H124" s="62">
        <v>0</v>
      </c>
      <c r="I124" s="62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385">
        <f t="shared" ref="O124" si="108">SUM(C124:N124)</f>
        <v>1350000</v>
      </c>
      <c r="P124" s="49">
        <v>1</v>
      </c>
    </row>
    <row r="125" spans="1:16" x14ac:dyDescent="0.35">
      <c r="A125" s="252" t="s">
        <v>534</v>
      </c>
      <c r="B125" s="294">
        <v>13700000</v>
      </c>
      <c r="C125" s="62">
        <f t="shared" ref="C125:N125" si="109">ROUND(((+$B$125*$B$62)+$B$125),-3)/12</f>
        <v>1189583.3333333333</v>
      </c>
      <c r="D125" s="62">
        <f t="shared" si="109"/>
        <v>1189583.3333333333</v>
      </c>
      <c r="E125" s="62">
        <f t="shared" si="109"/>
        <v>1189583.3333333333</v>
      </c>
      <c r="F125" s="62">
        <f t="shared" si="109"/>
        <v>1189583.3333333333</v>
      </c>
      <c r="G125" s="62">
        <f t="shared" si="109"/>
        <v>1189583.3333333333</v>
      </c>
      <c r="H125" s="62">
        <f t="shared" si="109"/>
        <v>1189583.3333333333</v>
      </c>
      <c r="I125" s="62">
        <f t="shared" si="109"/>
        <v>1189583.3333333333</v>
      </c>
      <c r="J125" s="62">
        <f t="shared" si="109"/>
        <v>1189583.3333333333</v>
      </c>
      <c r="K125" s="62">
        <f t="shared" si="109"/>
        <v>1189583.3333333333</v>
      </c>
      <c r="L125" s="62">
        <f t="shared" si="109"/>
        <v>1189583.3333333333</v>
      </c>
      <c r="M125" s="62">
        <f t="shared" si="109"/>
        <v>1189583.3333333333</v>
      </c>
      <c r="N125" s="62">
        <f t="shared" si="109"/>
        <v>1189583.3333333333</v>
      </c>
      <c r="O125" s="385">
        <f t="shared" ref="O125" si="110">SUM(C125:N125)</f>
        <v>14275000.000000002</v>
      </c>
      <c r="P125" s="49">
        <f t="shared" ref="P125" si="111">+(O125-B125)/B125</f>
        <v>4.1970802919708165E-2</v>
      </c>
    </row>
    <row r="126" spans="1:16" x14ac:dyDescent="0.35">
      <c r="A126" s="29" t="s">
        <v>698</v>
      </c>
      <c r="B126" s="300">
        <f>SUM(B127:B132)</f>
        <v>18070000</v>
      </c>
      <c r="C126" s="30">
        <f>SUM(C127:C132)</f>
        <v>1568916.6666666665</v>
      </c>
      <c r="D126" s="30">
        <f t="shared" ref="D126:O126" si="112">SUM(D127:D132)</f>
        <v>1568916.6666666665</v>
      </c>
      <c r="E126" s="30">
        <f t="shared" si="112"/>
        <v>1568916.6666666665</v>
      </c>
      <c r="F126" s="30">
        <f t="shared" si="112"/>
        <v>1568916.6666666665</v>
      </c>
      <c r="G126" s="30">
        <f t="shared" si="112"/>
        <v>1568916.6666666665</v>
      </c>
      <c r="H126" s="30">
        <f t="shared" si="112"/>
        <v>1568916.6666666665</v>
      </c>
      <c r="I126" s="30">
        <f t="shared" si="112"/>
        <v>1568916.6666666665</v>
      </c>
      <c r="J126" s="30">
        <f t="shared" si="112"/>
        <v>1568916.6666666665</v>
      </c>
      <c r="K126" s="30">
        <f t="shared" si="112"/>
        <v>1568916.6666666665</v>
      </c>
      <c r="L126" s="30">
        <f t="shared" si="112"/>
        <v>1568916.6666666665</v>
      </c>
      <c r="M126" s="30">
        <f t="shared" si="112"/>
        <v>1568916.6666666665</v>
      </c>
      <c r="N126" s="30">
        <f t="shared" si="112"/>
        <v>1568916.6666666665</v>
      </c>
      <c r="O126" s="391">
        <f t="shared" si="112"/>
        <v>18826999.999999996</v>
      </c>
      <c r="P126" s="38">
        <f t="shared" ref="P126:P135" si="113">+(O126-B126)/B126</f>
        <v>4.1892639734366147E-2</v>
      </c>
    </row>
    <row r="127" spans="1:16" x14ac:dyDescent="0.35">
      <c r="A127" s="154" t="s">
        <v>695</v>
      </c>
      <c r="B127" s="294">
        <v>2034000</v>
      </c>
      <c r="C127" s="62">
        <f t="shared" ref="C127:N127" si="114">ROUND(((+$B$127*$B$62)+$B$127),-3)/12</f>
        <v>176583.33333333334</v>
      </c>
      <c r="D127" s="62">
        <f t="shared" si="114"/>
        <v>176583.33333333334</v>
      </c>
      <c r="E127" s="62">
        <f t="shared" si="114"/>
        <v>176583.33333333334</v>
      </c>
      <c r="F127" s="62">
        <f t="shared" si="114"/>
        <v>176583.33333333334</v>
      </c>
      <c r="G127" s="62">
        <f t="shared" si="114"/>
        <v>176583.33333333334</v>
      </c>
      <c r="H127" s="62">
        <f t="shared" si="114"/>
        <v>176583.33333333334</v>
      </c>
      <c r="I127" s="62">
        <f t="shared" si="114"/>
        <v>176583.33333333334</v>
      </c>
      <c r="J127" s="62">
        <f t="shared" si="114"/>
        <v>176583.33333333334</v>
      </c>
      <c r="K127" s="62">
        <f t="shared" si="114"/>
        <v>176583.33333333334</v>
      </c>
      <c r="L127" s="62">
        <f t="shared" si="114"/>
        <v>176583.33333333334</v>
      </c>
      <c r="M127" s="62">
        <f t="shared" si="114"/>
        <v>176583.33333333334</v>
      </c>
      <c r="N127" s="62">
        <f t="shared" si="114"/>
        <v>176583.33333333334</v>
      </c>
      <c r="O127" s="385">
        <f t="shared" si="100"/>
        <v>2118999.9999999995</v>
      </c>
      <c r="P127" s="49">
        <f t="shared" si="113"/>
        <v>4.1789577187807049E-2</v>
      </c>
    </row>
    <row r="128" spans="1:16" x14ac:dyDescent="0.35">
      <c r="A128" s="154" t="s">
        <v>696</v>
      </c>
      <c r="B128" s="294">
        <v>720000</v>
      </c>
      <c r="C128" s="62">
        <f t="shared" ref="C128:N128" si="115">ROUND(((+$B$128*$B$62)+$B$128),-3)/12</f>
        <v>62500</v>
      </c>
      <c r="D128" s="62">
        <f t="shared" si="115"/>
        <v>62500</v>
      </c>
      <c r="E128" s="62">
        <f t="shared" si="115"/>
        <v>62500</v>
      </c>
      <c r="F128" s="62">
        <f t="shared" si="115"/>
        <v>62500</v>
      </c>
      <c r="G128" s="62">
        <f t="shared" si="115"/>
        <v>62500</v>
      </c>
      <c r="H128" s="62">
        <f t="shared" si="115"/>
        <v>62500</v>
      </c>
      <c r="I128" s="62">
        <f t="shared" si="115"/>
        <v>62500</v>
      </c>
      <c r="J128" s="62">
        <f t="shared" si="115"/>
        <v>62500</v>
      </c>
      <c r="K128" s="62">
        <f t="shared" si="115"/>
        <v>62500</v>
      </c>
      <c r="L128" s="62">
        <f t="shared" si="115"/>
        <v>62500</v>
      </c>
      <c r="M128" s="62">
        <f t="shared" si="115"/>
        <v>62500</v>
      </c>
      <c r="N128" s="62">
        <f t="shared" si="115"/>
        <v>62500</v>
      </c>
      <c r="O128" s="385">
        <f t="shared" si="100"/>
        <v>750000</v>
      </c>
      <c r="P128" s="49">
        <f t="shared" si="113"/>
        <v>4.1666666666666664E-2</v>
      </c>
    </row>
    <row r="129" spans="1:16" x14ac:dyDescent="0.35">
      <c r="A129" s="154" t="s">
        <v>697</v>
      </c>
      <c r="B129" s="294">
        <v>720000</v>
      </c>
      <c r="C129" s="62">
        <f t="shared" ref="C129:N129" si="116">ROUND(((+$B$129*$B$62)+$B$129),-3)/12</f>
        <v>62500</v>
      </c>
      <c r="D129" s="62">
        <f t="shared" si="116"/>
        <v>62500</v>
      </c>
      <c r="E129" s="62">
        <f t="shared" si="116"/>
        <v>62500</v>
      </c>
      <c r="F129" s="62">
        <f t="shared" si="116"/>
        <v>62500</v>
      </c>
      <c r="G129" s="62">
        <f t="shared" si="116"/>
        <v>62500</v>
      </c>
      <c r="H129" s="62">
        <f t="shared" si="116"/>
        <v>62500</v>
      </c>
      <c r="I129" s="62">
        <f t="shared" si="116"/>
        <v>62500</v>
      </c>
      <c r="J129" s="62">
        <f t="shared" si="116"/>
        <v>62500</v>
      </c>
      <c r="K129" s="62">
        <f t="shared" si="116"/>
        <v>62500</v>
      </c>
      <c r="L129" s="62">
        <f t="shared" si="116"/>
        <v>62500</v>
      </c>
      <c r="M129" s="62">
        <f t="shared" si="116"/>
        <v>62500</v>
      </c>
      <c r="N129" s="62">
        <f t="shared" si="116"/>
        <v>62500</v>
      </c>
      <c r="O129" s="385">
        <f t="shared" si="100"/>
        <v>750000</v>
      </c>
      <c r="P129" s="49">
        <f t="shared" si="113"/>
        <v>4.1666666666666664E-2</v>
      </c>
    </row>
    <row r="130" spans="1:16" x14ac:dyDescent="0.35">
      <c r="A130" s="154" t="s">
        <v>692</v>
      </c>
      <c r="B130" s="294">
        <v>12676000</v>
      </c>
      <c r="C130" s="62">
        <f t="shared" ref="C130:N130" si="117">ROUND(((+$B$130*$B$62)+$B$130),-3)/12</f>
        <v>1100666.6666666667</v>
      </c>
      <c r="D130" s="62">
        <f t="shared" si="117"/>
        <v>1100666.6666666667</v>
      </c>
      <c r="E130" s="62">
        <f t="shared" si="117"/>
        <v>1100666.6666666667</v>
      </c>
      <c r="F130" s="62">
        <f t="shared" si="117"/>
        <v>1100666.6666666667</v>
      </c>
      <c r="G130" s="62">
        <f t="shared" si="117"/>
        <v>1100666.6666666667</v>
      </c>
      <c r="H130" s="62">
        <f t="shared" si="117"/>
        <v>1100666.6666666667</v>
      </c>
      <c r="I130" s="62">
        <f t="shared" si="117"/>
        <v>1100666.6666666667</v>
      </c>
      <c r="J130" s="62">
        <f t="shared" si="117"/>
        <v>1100666.6666666667</v>
      </c>
      <c r="K130" s="62">
        <f t="shared" si="117"/>
        <v>1100666.6666666667</v>
      </c>
      <c r="L130" s="62">
        <f t="shared" si="117"/>
        <v>1100666.6666666667</v>
      </c>
      <c r="M130" s="62">
        <f t="shared" si="117"/>
        <v>1100666.6666666667</v>
      </c>
      <c r="N130" s="62">
        <f t="shared" si="117"/>
        <v>1100666.6666666667</v>
      </c>
      <c r="O130" s="385">
        <f t="shared" si="100"/>
        <v>13207999.999999998</v>
      </c>
      <c r="P130" s="49">
        <f t="shared" si="113"/>
        <v>4.1969075418112824E-2</v>
      </c>
    </row>
    <row r="131" spans="1:16" x14ac:dyDescent="0.35">
      <c r="A131" s="154" t="s">
        <v>693</v>
      </c>
      <c r="B131" s="294">
        <v>960000</v>
      </c>
      <c r="C131" s="62">
        <f t="shared" ref="C131:N131" si="118">ROUND(((+$B$131*$B$62)+$B$131),-3)/12</f>
        <v>83333.333333333328</v>
      </c>
      <c r="D131" s="62">
        <f t="shared" si="118"/>
        <v>83333.333333333328</v>
      </c>
      <c r="E131" s="62">
        <f t="shared" si="118"/>
        <v>83333.333333333328</v>
      </c>
      <c r="F131" s="62">
        <f t="shared" si="118"/>
        <v>83333.333333333328</v>
      </c>
      <c r="G131" s="62">
        <f t="shared" si="118"/>
        <v>83333.333333333328</v>
      </c>
      <c r="H131" s="62">
        <f t="shared" si="118"/>
        <v>83333.333333333328</v>
      </c>
      <c r="I131" s="62">
        <f t="shared" si="118"/>
        <v>83333.333333333328</v>
      </c>
      <c r="J131" s="62">
        <f t="shared" si="118"/>
        <v>83333.333333333328</v>
      </c>
      <c r="K131" s="62">
        <f t="shared" si="118"/>
        <v>83333.333333333328</v>
      </c>
      <c r="L131" s="62">
        <f t="shared" si="118"/>
        <v>83333.333333333328</v>
      </c>
      <c r="M131" s="62">
        <f t="shared" si="118"/>
        <v>83333.333333333328</v>
      </c>
      <c r="N131" s="62">
        <f t="shared" si="118"/>
        <v>83333.333333333328</v>
      </c>
      <c r="O131" s="385">
        <f t="shared" si="100"/>
        <v>1000000.0000000001</v>
      </c>
      <c r="P131" s="49">
        <f t="shared" si="113"/>
        <v>4.1666666666666789E-2</v>
      </c>
    </row>
    <row r="132" spans="1:16" x14ac:dyDescent="0.35">
      <c r="A132" s="154" t="s">
        <v>694</v>
      </c>
      <c r="B132" s="294">
        <v>960000</v>
      </c>
      <c r="C132" s="62">
        <f t="shared" ref="C132:N132" si="119">ROUND(((+$B$132*$B$62)+$B$132),-3)/12</f>
        <v>83333.333333333328</v>
      </c>
      <c r="D132" s="62">
        <f t="shared" si="119"/>
        <v>83333.333333333328</v>
      </c>
      <c r="E132" s="62">
        <f t="shared" si="119"/>
        <v>83333.333333333328</v>
      </c>
      <c r="F132" s="62">
        <f t="shared" si="119"/>
        <v>83333.333333333328</v>
      </c>
      <c r="G132" s="62">
        <f t="shared" si="119"/>
        <v>83333.333333333328</v>
      </c>
      <c r="H132" s="62">
        <f t="shared" si="119"/>
        <v>83333.333333333328</v>
      </c>
      <c r="I132" s="62">
        <f t="shared" si="119"/>
        <v>83333.333333333328</v>
      </c>
      <c r="J132" s="62">
        <f t="shared" si="119"/>
        <v>83333.333333333328</v>
      </c>
      <c r="K132" s="62">
        <f t="shared" si="119"/>
        <v>83333.333333333328</v>
      </c>
      <c r="L132" s="62">
        <f t="shared" si="119"/>
        <v>83333.333333333328</v>
      </c>
      <c r="M132" s="62">
        <f t="shared" si="119"/>
        <v>83333.333333333328</v>
      </c>
      <c r="N132" s="62">
        <f t="shared" si="119"/>
        <v>83333.333333333328</v>
      </c>
      <c r="O132" s="385">
        <f t="shared" si="100"/>
        <v>1000000.0000000001</v>
      </c>
      <c r="P132" s="49">
        <f t="shared" si="113"/>
        <v>4.1666666666666789E-2</v>
      </c>
    </row>
    <row r="133" spans="1:16" x14ac:dyDescent="0.35">
      <c r="A133" s="29" t="s">
        <v>12</v>
      </c>
      <c r="B133" s="300">
        <v>200000</v>
      </c>
      <c r="C133" s="50"/>
      <c r="D133" s="62">
        <f>ROUND(((+$B$133*$B$62)+$B$133),-3)/6</f>
        <v>34666.666666666664</v>
      </c>
      <c r="E133" s="58"/>
      <c r="F133" s="62">
        <f>ROUND(((+$B$133*$B$62)+$B$133),-3)/6</f>
        <v>34666.666666666664</v>
      </c>
      <c r="G133" s="58"/>
      <c r="H133" s="62">
        <f>ROUND(((+$B$133*$B$62)+$B$133),-3)/6</f>
        <v>34666.666666666664</v>
      </c>
      <c r="I133" s="58"/>
      <c r="J133" s="62">
        <f>ROUND(((+$B$133*$B$62)+$B$133),-3)/6</f>
        <v>34666.666666666664</v>
      </c>
      <c r="K133" s="58"/>
      <c r="L133" s="62">
        <f>ROUND(((+$B$133*$B$62)+$B$133),-3)/6</f>
        <v>34666.666666666664</v>
      </c>
      <c r="M133" s="58"/>
      <c r="N133" s="62">
        <f>ROUND(((+$B$133*$B$62)+$B$133),-3)/6</f>
        <v>34666.666666666664</v>
      </c>
      <c r="O133" s="391">
        <f t="shared" ref="O133" si="120">SUM(C133:N133)</f>
        <v>207999.99999999997</v>
      </c>
      <c r="P133" s="49">
        <f t="shared" si="113"/>
        <v>3.9999999999999855E-2</v>
      </c>
    </row>
    <row r="134" spans="1:16" s="31" customFormat="1" x14ac:dyDescent="0.35">
      <c r="A134" s="29" t="s">
        <v>114</v>
      </c>
      <c r="B134" s="300">
        <f t="shared" ref="B134:O134" si="121">+B135+B152</f>
        <v>114608800</v>
      </c>
      <c r="C134" s="30">
        <f t="shared" si="121"/>
        <v>10496000</v>
      </c>
      <c r="D134" s="30">
        <f t="shared" si="121"/>
        <v>5654000</v>
      </c>
      <c r="E134" s="30">
        <f t="shared" si="121"/>
        <v>25827941.145230219</v>
      </c>
      <c r="F134" s="30">
        <f t="shared" si="121"/>
        <v>10511000</v>
      </c>
      <c r="G134" s="30">
        <f t="shared" si="121"/>
        <v>7298000</v>
      </c>
      <c r="H134" s="30">
        <f t="shared" si="121"/>
        <v>18783941.145230219</v>
      </c>
      <c r="I134" s="30">
        <f t="shared" si="121"/>
        <v>10661000</v>
      </c>
      <c r="J134" s="30">
        <f t="shared" si="121"/>
        <v>11964000</v>
      </c>
      <c r="K134" s="30">
        <f t="shared" si="121"/>
        <v>13551941.145230219</v>
      </c>
      <c r="L134" s="30">
        <f t="shared" si="121"/>
        <v>10432000</v>
      </c>
      <c r="M134" s="30">
        <f t="shared" si="121"/>
        <v>681000</v>
      </c>
      <c r="N134" s="30">
        <f t="shared" si="121"/>
        <v>681000</v>
      </c>
      <c r="O134" s="391">
        <f t="shared" si="121"/>
        <v>126541823.43569066</v>
      </c>
      <c r="P134" s="49">
        <f t="shared" si="113"/>
        <v>0.1041196089278542</v>
      </c>
    </row>
    <row r="135" spans="1:16" x14ac:dyDescent="0.35">
      <c r="A135" s="154" t="s">
        <v>388</v>
      </c>
      <c r="B135" s="300">
        <f t="shared" ref="B135" si="122">+B136+B137+B147+B151</f>
        <v>102700600</v>
      </c>
      <c r="C135" s="50">
        <f t="shared" ref="C135:E135" si="123">+C136+C137+C147+C148+C149+C150+C151</f>
        <v>8900000</v>
      </c>
      <c r="D135" s="50">
        <f t="shared" si="123"/>
        <v>4400000</v>
      </c>
      <c r="E135" s="50">
        <f t="shared" si="123"/>
        <v>25146941.145230219</v>
      </c>
      <c r="F135" s="50">
        <f>+F136+F137+F147+F148+F149+F150+F151</f>
        <v>8915000</v>
      </c>
      <c r="G135" s="50">
        <f t="shared" ref="G135" si="124">+G136+G137+G147+G148+G149+G150+G151</f>
        <v>6617000</v>
      </c>
      <c r="H135" s="50">
        <f t="shared" ref="H135" si="125">+H136+H137+H147+H148+H149+H150+H151</f>
        <v>18102941.145230219</v>
      </c>
      <c r="I135" s="50">
        <f t="shared" ref="I135" si="126">+I136+I137+I147+I148+I149+I150+I151</f>
        <v>9065000</v>
      </c>
      <c r="J135" s="50">
        <f t="shared" ref="J135" si="127">+J136+J137+J147+J148+J149+J150+J151</f>
        <v>11283000</v>
      </c>
      <c r="K135" s="50">
        <f t="shared" ref="K135" si="128">+K136+K137+K147+K148+K149+K150+K151</f>
        <v>12870941.145230219</v>
      </c>
      <c r="L135" s="50">
        <f t="shared" ref="L135" si="129">+L136+L137+L147+L148+L149+L150+L151</f>
        <v>8836000</v>
      </c>
      <c r="M135" s="50">
        <f>+M136+M137+M147+M148+M149+M150+M151</f>
        <v>0</v>
      </c>
      <c r="N135" s="50">
        <f t="shared" ref="N135" si="130">+N136+N137+N147+N148+N149+N150+N151</f>
        <v>0</v>
      </c>
      <c r="O135" s="390">
        <f>+O136+O137+O147+O151+O148+O149+O150</f>
        <v>114136823.43569066</v>
      </c>
      <c r="P135" s="49">
        <f t="shared" si="113"/>
        <v>0.11135498172056109</v>
      </c>
    </row>
    <row r="136" spans="1:16" x14ac:dyDescent="0.35">
      <c r="A136" s="154" t="s">
        <v>117</v>
      </c>
      <c r="B136" s="294">
        <v>24838000</v>
      </c>
      <c r="C136" s="50"/>
      <c r="D136" s="58"/>
      <c r="E136" s="62">
        <f>(+$O$7*1%)/3</f>
        <v>9202941.1452302188</v>
      </c>
      <c r="F136" s="58"/>
      <c r="G136" s="58"/>
      <c r="H136" s="62">
        <f>(+$O$7*1%)/3</f>
        <v>9202941.1452302188</v>
      </c>
      <c r="I136" s="58"/>
      <c r="J136" s="58"/>
      <c r="K136" s="62">
        <f>(+$O$7*1%)/3</f>
        <v>9202941.1452302188</v>
      </c>
      <c r="L136" s="58"/>
      <c r="M136" s="58"/>
      <c r="N136" s="58"/>
      <c r="O136" s="385">
        <f t="shared" ref="O136:O168" si="131">SUM(C136:N136)</f>
        <v>27608823.435690656</v>
      </c>
      <c r="P136" s="49">
        <f t="shared" ref="P136:P137" si="132">+(O136-B136)/B136</f>
        <v>0.11155581913562511</v>
      </c>
    </row>
    <row r="137" spans="1:16" x14ac:dyDescent="0.35">
      <c r="A137" s="154" t="s">
        <v>118</v>
      </c>
      <c r="B137" s="294">
        <f t="shared" ref="B137:O137" si="133">SUM(B138:B146)</f>
        <v>69033600</v>
      </c>
      <c r="C137" s="50">
        <f t="shared" si="133"/>
        <v>8900000</v>
      </c>
      <c r="D137" s="50">
        <f t="shared" si="133"/>
        <v>0</v>
      </c>
      <c r="E137" s="50">
        <f t="shared" si="133"/>
        <v>15944000</v>
      </c>
      <c r="F137" s="50">
        <f t="shared" si="133"/>
        <v>1415000</v>
      </c>
      <c r="G137" s="50">
        <f t="shared" si="133"/>
        <v>0</v>
      </c>
      <c r="H137" s="50">
        <f t="shared" si="133"/>
        <v>8900000</v>
      </c>
      <c r="I137" s="50">
        <f t="shared" si="133"/>
        <v>9065000</v>
      </c>
      <c r="J137" s="50">
        <f t="shared" si="133"/>
        <v>0</v>
      </c>
      <c r="K137" s="50">
        <f t="shared" si="133"/>
        <v>3668000</v>
      </c>
      <c r="L137" s="50">
        <f t="shared" si="133"/>
        <v>8836000</v>
      </c>
      <c r="M137" s="50">
        <f t="shared" si="133"/>
        <v>0</v>
      </c>
      <c r="N137" s="50">
        <f t="shared" si="133"/>
        <v>0</v>
      </c>
      <c r="O137" s="385">
        <f t="shared" si="133"/>
        <v>56728000</v>
      </c>
      <c r="P137" s="49">
        <f t="shared" si="132"/>
        <v>-0.17825522644045799</v>
      </c>
    </row>
    <row r="138" spans="1:16" x14ac:dyDescent="0.35">
      <c r="A138" s="154" t="s">
        <v>119</v>
      </c>
      <c r="B138" s="294">
        <v>3520000</v>
      </c>
      <c r="C138" s="50"/>
      <c r="D138" s="58"/>
      <c r="E138" s="58"/>
      <c r="F138" s="58"/>
      <c r="G138" s="62">
        <v>0</v>
      </c>
      <c r="H138" s="58"/>
      <c r="I138" s="62">
        <v>0</v>
      </c>
      <c r="J138" s="58"/>
      <c r="K138" s="50">
        <f>ROUND(((+$B$138*$B$62)+$B$138),-3)</f>
        <v>3668000</v>
      </c>
      <c r="L138" s="58"/>
      <c r="M138" s="50"/>
      <c r="N138" s="58"/>
      <c r="O138" s="386">
        <f t="shared" si="131"/>
        <v>3668000</v>
      </c>
      <c r="P138" s="49">
        <f t="shared" ref="P138:P145" si="134">+(O138-B138)/B138</f>
        <v>4.2045454545454546E-2</v>
      </c>
    </row>
    <row r="139" spans="1:16" x14ac:dyDescent="0.35">
      <c r="A139" s="154" t="s">
        <v>213</v>
      </c>
      <c r="B139" s="294">
        <v>25440000</v>
      </c>
      <c r="C139" s="50"/>
      <c r="D139" s="62">
        <v>0</v>
      </c>
      <c r="E139" s="62">
        <f>ROUND((((+$B$139*$B$62+$B$139))/3),-3)</f>
        <v>8836000</v>
      </c>
      <c r="F139" s="58"/>
      <c r="G139" s="58"/>
      <c r="H139" s="62"/>
      <c r="I139" s="62">
        <f>ROUND((((+$B$139*$B$62+$B$139))/3),-3)</f>
        <v>8836000</v>
      </c>
      <c r="J139" s="58"/>
      <c r="K139" s="58"/>
      <c r="L139" s="62">
        <f>ROUND((((+$B$139*$B$62+$B$139))/3),-3)</f>
        <v>8836000</v>
      </c>
      <c r="M139" s="58"/>
      <c r="N139" s="58"/>
      <c r="O139" s="385">
        <f t="shared" si="131"/>
        <v>26508000</v>
      </c>
      <c r="P139" s="49">
        <f t="shared" si="134"/>
        <v>4.1981132075471696E-2</v>
      </c>
    </row>
    <row r="140" spans="1:16" x14ac:dyDescent="0.35">
      <c r="A140" s="154" t="s">
        <v>426</v>
      </c>
      <c r="B140" s="294">
        <v>6781000</v>
      </c>
      <c r="C140" s="50"/>
      <c r="D140" s="62"/>
      <c r="E140" s="62">
        <v>6781000</v>
      </c>
      <c r="F140" s="58"/>
      <c r="G140" s="58"/>
      <c r="H140" s="62"/>
      <c r="I140" s="62"/>
      <c r="J140" s="62"/>
      <c r="K140" s="58"/>
      <c r="L140" s="62"/>
      <c r="M140" s="58"/>
      <c r="N140" s="58"/>
      <c r="O140" s="385">
        <f t="shared" si="131"/>
        <v>6781000</v>
      </c>
      <c r="P140" s="49">
        <f t="shared" si="134"/>
        <v>0</v>
      </c>
    </row>
    <row r="141" spans="1:16" x14ac:dyDescent="0.35">
      <c r="A141" s="154" t="s">
        <v>214</v>
      </c>
      <c r="B141" s="294">
        <v>6924000</v>
      </c>
      <c r="C141" s="50"/>
      <c r="D141" s="62">
        <v>0</v>
      </c>
      <c r="E141" s="50"/>
      <c r="F141" s="50"/>
      <c r="G141" s="62">
        <v>0</v>
      </c>
      <c r="H141" s="62"/>
      <c r="I141" s="62"/>
      <c r="J141" s="50"/>
      <c r="K141" s="50"/>
      <c r="L141" s="50"/>
      <c r="M141" s="50"/>
      <c r="N141" s="50"/>
      <c r="O141" s="385">
        <f t="shared" si="131"/>
        <v>0</v>
      </c>
      <c r="P141" s="49">
        <f t="shared" si="134"/>
        <v>-1</v>
      </c>
    </row>
    <row r="142" spans="1:16" x14ac:dyDescent="0.35">
      <c r="A142" s="154" t="s">
        <v>728</v>
      </c>
      <c r="B142" s="294">
        <f>18000000+7835000</f>
        <v>25835000</v>
      </c>
      <c r="C142" s="62">
        <v>8900000</v>
      </c>
      <c r="D142" s="62"/>
      <c r="E142" s="62"/>
      <c r="F142" s="62">
        <v>0</v>
      </c>
      <c r="G142" s="62"/>
      <c r="H142" s="62">
        <v>8900000</v>
      </c>
      <c r="I142" s="62"/>
      <c r="J142" s="62">
        <v>0</v>
      </c>
      <c r="K142" s="62"/>
      <c r="L142" s="62"/>
      <c r="M142" s="62"/>
      <c r="N142" s="62">
        <v>0</v>
      </c>
      <c r="O142" s="385">
        <f t="shared" si="131"/>
        <v>17800000</v>
      </c>
      <c r="P142" s="49">
        <f t="shared" si="134"/>
        <v>-0.31101219276175729</v>
      </c>
    </row>
    <row r="143" spans="1:16" x14ac:dyDescent="0.35">
      <c r="A143" s="154" t="s">
        <v>894</v>
      </c>
      <c r="B143" s="294">
        <v>0</v>
      </c>
      <c r="C143" s="62"/>
      <c r="D143" s="62"/>
      <c r="E143" s="50"/>
      <c r="F143" s="50">
        <v>1415000</v>
      </c>
      <c r="G143" s="50"/>
      <c r="H143" s="50"/>
      <c r="I143" s="62"/>
      <c r="J143" s="50"/>
      <c r="K143" s="50"/>
      <c r="L143" s="62"/>
      <c r="M143" s="50"/>
      <c r="N143" s="62">
        <f>ROUND(((+$B$143*$B$62)+$B$143),-3)</f>
        <v>0</v>
      </c>
      <c r="O143" s="385">
        <f t="shared" si="131"/>
        <v>1415000</v>
      </c>
      <c r="P143" s="49">
        <v>1</v>
      </c>
    </row>
    <row r="144" spans="1:16" x14ac:dyDescent="0.35">
      <c r="A144" s="154" t="s">
        <v>215</v>
      </c>
      <c r="B144" s="294">
        <v>220000</v>
      </c>
      <c r="C144" s="50"/>
      <c r="D144" s="62"/>
      <c r="E144" s="50"/>
      <c r="F144" s="50"/>
      <c r="G144" s="50"/>
      <c r="H144" s="50"/>
      <c r="I144" s="62">
        <f>ROUND(((+$B$144*$B$62)+$B$144),-3)</f>
        <v>229000</v>
      </c>
      <c r="J144" s="62"/>
      <c r="K144" s="50"/>
      <c r="L144" s="50"/>
      <c r="M144" s="50"/>
      <c r="N144" s="50"/>
      <c r="O144" s="385">
        <f t="shared" si="131"/>
        <v>229000</v>
      </c>
      <c r="P144" s="49">
        <f t="shared" si="134"/>
        <v>4.0909090909090909E-2</v>
      </c>
    </row>
    <row r="145" spans="1:16" x14ac:dyDescent="0.35">
      <c r="A145" s="154" t="s">
        <v>387</v>
      </c>
      <c r="B145" s="294">
        <v>313600</v>
      </c>
      <c r="C145" s="50">
        <v>0</v>
      </c>
      <c r="D145" s="50">
        <v>0</v>
      </c>
      <c r="E145" s="62">
        <f>ROUND(((+$B$145*$B$62+$B$145)/1),-3)</f>
        <v>327000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385">
        <f t="shared" si="131"/>
        <v>327000</v>
      </c>
      <c r="P145" s="49">
        <f t="shared" si="134"/>
        <v>4.2729591836734693E-2</v>
      </c>
    </row>
    <row r="146" spans="1:16" s="66" customFormat="1" x14ac:dyDescent="0.35">
      <c r="A146" s="253" t="s">
        <v>367</v>
      </c>
      <c r="B146" s="316">
        <v>0</v>
      </c>
      <c r="C146" s="64"/>
      <c r="D146" s="65"/>
      <c r="E146" s="64"/>
      <c r="F146" s="65"/>
      <c r="G146" s="65"/>
      <c r="H146" s="65"/>
      <c r="I146" s="64"/>
      <c r="J146" s="65"/>
      <c r="K146" s="65"/>
      <c r="L146" s="62">
        <v>0</v>
      </c>
      <c r="M146" s="64"/>
      <c r="N146" s="65"/>
      <c r="O146" s="385">
        <f t="shared" ref="O146" si="135">SUM(C146:N146)</f>
        <v>0</v>
      </c>
      <c r="P146" s="49">
        <v>0</v>
      </c>
    </row>
    <row r="147" spans="1:16" x14ac:dyDescent="0.35">
      <c r="A147" s="253" t="s">
        <v>368</v>
      </c>
      <c r="B147" s="294">
        <v>2479000</v>
      </c>
      <c r="C147" s="50"/>
      <c r="D147" s="58"/>
      <c r="E147" s="50"/>
      <c r="F147" s="58"/>
      <c r="G147" s="58"/>
      <c r="H147" s="58"/>
      <c r="I147" s="50"/>
      <c r="J147" s="62">
        <f>ROUND(((+$B$147*$B$62)+$B$147),-3)</f>
        <v>2583000</v>
      </c>
      <c r="K147" s="58"/>
      <c r="L147" s="62">
        <v>0</v>
      </c>
      <c r="M147" s="50"/>
      <c r="N147" s="58"/>
      <c r="O147" s="385">
        <f t="shared" si="131"/>
        <v>2583000</v>
      </c>
      <c r="P147" s="49">
        <f t="shared" ref="P147:P152" si="136">+(O147-B147)/B147</f>
        <v>4.1952400161355388E-2</v>
      </c>
    </row>
    <row r="148" spans="1:16" x14ac:dyDescent="0.35">
      <c r="A148" s="253" t="s">
        <v>777</v>
      </c>
      <c r="B148" s="294">
        <v>0</v>
      </c>
      <c r="C148" s="50"/>
      <c r="D148" s="50">
        <v>3200000</v>
      </c>
      <c r="E148" s="50"/>
      <c r="F148" s="58"/>
      <c r="G148" s="58"/>
      <c r="H148" s="58"/>
      <c r="I148" s="50"/>
      <c r="J148" s="62"/>
      <c r="K148" s="58"/>
      <c r="L148" s="62"/>
      <c r="M148" s="50"/>
      <c r="N148" s="58"/>
      <c r="O148" s="385">
        <f t="shared" si="131"/>
        <v>3200000</v>
      </c>
      <c r="P148" s="49">
        <v>1</v>
      </c>
    </row>
    <row r="149" spans="1:16" x14ac:dyDescent="0.35">
      <c r="A149" s="253" t="s">
        <v>784</v>
      </c>
      <c r="B149" s="294">
        <v>7000000</v>
      </c>
      <c r="C149" s="50"/>
      <c r="D149" s="50"/>
      <c r="E149" s="50"/>
      <c r="F149" s="62">
        <v>7500000</v>
      </c>
      <c r="G149" s="58"/>
      <c r="H149" s="58"/>
      <c r="I149" s="50"/>
      <c r="J149" s="62">
        <v>7500000</v>
      </c>
      <c r="K149" s="58"/>
      <c r="L149" s="62"/>
      <c r="M149" s="50"/>
      <c r="N149" s="58"/>
      <c r="O149" s="385">
        <f t="shared" si="131"/>
        <v>15000000</v>
      </c>
      <c r="P149" s="49">
        <v>1</v>
      </c>
    </row>
    <row r="150" spans="1:16" x14ac:dyDescent="0.35">
      <c r="A150" s="253" t="s">
        <v>779</v>
      </c>
      <c r="B150" s="294">
        <v>0</v>
      </c>
      <c r="C150" s="50">
        <v>0</v>
      </c>
      <c r="D150" s="50">
        <v>1200000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1200000</v>
      </c>
      <c r="K150" s="50">
        <v>0</v>
      </c>
      <c r="L150" s="50">
        <v>0</v>
      </c>
      <c r="M150" s="50">
        <v>0</v>
      </c>
      <c r="N150" s="50">
        <v>0</v>
      </c>
      <c r="O150" s="385">
        <f t="shared" si="131"/>
        <v>2400000</v>
      </c>
      <c r="P150" s="49">
        <v>1</v>
      </c>
    </row>
    <row r="151" spans="1:16" x14ac:dyDescent="0.35">
      <c r="A151" s="253" t="s">
        <v>778</v>
      </c>
      <c r="B151" s="294">
        <v>6350000</v>
      </c>
      <c r="C151" s="70">
        <v>0</v>
      </c>
      <c r="D151" s="320"/>
      <c r="E151" s="50"/>
      <c r="F151" s="50">
        <v>0</v>
      </c>
      <c r="G151" s="62">
        <f>ROUND(((+$B$151*$B$62+$B$151)/1),-3)</f>
        <v>6617000</v>
      </c>
      <c r="H151" s="58"/>
      <c r="I151" s="50"/>
      <c r="J151" s="50">
        <v>0</v>
      </c>
      <c r="K151" s="58"/>
      <c r="L151" s="58"/>
      <c r="M151" s="50"/>
      <c r="N151" s="58"/>
      <c r="O151" s="385">
        <f t="shared" si="131"/>
        <v>6617000</v>
      </c>
      <c r="P151" s="49">
        <f t="shared" si="136"/>
        <v>4.2047244094488186E-2</v>
      </c>
    </row>
    <row r="152" spans="1:16" x14ac:dyDescent="0.35">
      <c r="A152" s="29" t="s">
        <v>138</v>
      </c>
      <c r="B152" s="300">
        <f t="shared" ref="B152:O152" si="137">SUM(B153:B155)</f>
        <v>11908200</v>
      </c>
      <c r="C152" s="50">
        <f t="shared" si="137"/>
        <v>1596000</v>
      </c>
      <c r="D152" s="50">
        <f t="shared" si="137"/>
        <v>1254000</v>
      </c>
      <c r="E152" s="50">
        <f t="shared" si="137"/>
        <v>681000</v>
      </c>
      <c r="F152" s="50">
        <f t="shared" si="137"/>
        <v>1596000</v>
      </c>
      <c r="G152" s="50">
        <f t="shared" si="137"/>
        <v>681000</v>
      </c>
      <c r="H152" s="50">
        <f t="shared" si="137"/>
        <v>681000</v>
      </c>
      <c r="I152" s="50">
        <f t="shared" si="137"/>
        <v>1596000</v>
      </c>
      <c r="J152" s="50">
        <f t="shared" si="137"/>
        <v>681000</v>
      </c>
      <c r="K152" s="50">
        <f t="shared" si="137"/>
        <v>681000</v>
      </c>
      <c r="L152" s="50">
        <f t="shared" si="137"/>
        <v>1596000</v>
      </c>
      <c r="M152" s="50">
        <f t="shared" si="137"/>
        <v>681000</v>
      </c>
      <c r="N152" s="50">
        <f t="shared" si="137"/>
        <v>681000</v>
      </c>
      <c r="O152" s="391">
        <f t="shared" si="137"/>
        <v>12405000</v>
      </c>
      <c r="P152" s="49">
        <f t="shared" si="136"/>
        <v>4.1719151509044185E-2</v>
      </c>
    </row>
    <row r="153" spans="1:16" x14ac:dyDescent="0.35">
      <c r="A153" s="154" t="s">
        <v>369</v>
      </c>
      <c r="B153" s="294">
        <f>7687000+159200</f>
        <v>7846200</v>
      </c>
      <c r="C153" s="50">
        <f t="shared" ref="C153:N153" si="138">ROUND((((+$B$153*$B$62+$B$153))/12),-3)</f>
        <v>681000</v>
      </c>
      <c r="D153" s="50">
        <f t="shared" si="138"/>
        <v>681000</v>
      </c>
      <c r="E153" s="50">
        <f t="shared" si="138"/>
        <v>681000</v>
      </c>
      <c r="F153" s="50">
        <f t="shared" si="138"/>
        <v>681000</v>
      </c>
      <c r="G153" s="50">
        <f t="shared" si="138"/>
        <v>681000</v>
      </c>
      <c r="H153" s="50">
        <f t="shared" si="138"/>
        <v>681000</v>
      </c>
      <c r="I153" s="50">
        <f t="shared" si="138"/>
        <v>681000</v>
      </c>
      <c r="J153" s="50">
        <f t="shared" si="138"/>
        <v>681000</v>
      </c>
      <c r="K153" s="50">
        <f t="shared" si="138"/>
        <v>681000</v>
      </c>
      <c r="L153" s="50">
        <f t="shared" si="138"/>
        <v>681000</v>
      </c>
      <c r="M153" s="50">
        <f t="shared" si="138"/>
        <v>681000</v>
      </c>
      <c r="N153" s="50">
        <f t="shared" si="138"/>
        <v>681000</v>
      </c>
      <c r="O153" s="385">
        <f t="shared" si="131"/>
        <v>8172000</v>
      </c>
      <c r="P153" s="49">
        <f t="shared" ref="P153:P167" si="139">+(O153-B153)/B153</f>
        <v>4.1523285157146136E-2</v>
      </c>
    </row>
    <row r="154" spans="1:16" x14ac:dyDescent="0.35">
      <c r="A154" s="154" t="s">
        <v>424</v>
      </c>
      <c r="B154" s="294">
        <v>3512000</v>
      </c>
      <c r="C154" s="50">
        <f>ROUND((((+$B$154*$B$62+$B$154))/4),-3)</f>
        <v>915000</v>
      </c>
      <c r="D154" s="50"/>
      <c r="E154" s="50"/>
      <c r="F154" s="50">
        <f>ROUND((((+$B$154*$B$62+$B$154))/4),-3)</f>
        <v>915000</v>
      </c>
      <c r="G154" s="50"/>
      <c r="H154" s="50"/>
      <c r="I154" s="50">
        <f>ROUND((((+$B$154*$B$62+$B$154))/4),-3)</f>
        <v>915000</v>
      </c>
      <c r="J154" s="50"/>
      <c r="K154" s="50">
        <v>0</v>
      </c>
      <c r="L154" s="50">
        <f>ROUND((((+$B$154*$B$62+$B$154))/4),-3)</f>
        <v>915000</v>
      </c>
      <c r="M154" s="50"/>
      <c r="N154" s="50"/>
      <c r="O154" s="385">
        <f t="shared" si="131"/>
        <v>3660000</v>
      </c>
      <c r="P154" s="49">
        <f t="shared" si="139"/>
        <v>4.2141230068337129E-2</v>
      </c>
    </row>
    <row r="155" spans="1:16" x14ac:dyDescent="0.35">
      <c r="A155" s="154" t="s">
        <v>370</v>
      </c>
      <c r="B155" s="294">
        <v>550000</v>
      </c>
      <c r="C155" s="50">
        <v>0</v>
      </c>
      <c r="D155" s="50">
        <f>ROUND((((+$B$155*$B$62+$B$155))),-3)</f>
        <v>573000</v>
      </c>
      <c r="E155" s="58"/>
      <c r="F155" s="58"/>
      <c r="G155" s="58"/>
      <c r="H155" s="58"/>
      <c r="I155" s="58"/>
      <c r="J155" s="58"/>
      <c r="K155" s="62"/>
      <c r="L155" s="58"/>
      <c r="M155" s="58"/>
      <c r="N155" s="58"/>
      <c r="O155" s="385">
        <f t="shared" si="131"/>
        <v>573000</v>
      </c>
      <c r="P155" s="49">
        <f t="shared" si="139"/>
        <v>4.1818181818181817E-2</v>
      </c>
    </row>
    <row r="156" spans="1:16" s="31" customFormat="1" x14ac:dyDescent="0.35">
      <c r="A156" s="29" t="s">
        <v>13</v>
      </c>
      <c r="B156" s="300">
        <f>+SUM(B157:B166)</f>
        <v>17742000</v>
      </c>
      <c r="C156" s="30">
        <f>+SUM(C157:C166)</f>
        <v>5305000</v>
      </c>
      <c r="D156" s="30">
        <f t="shared" ref="D156:O156" si="140">+SUM(D157:D166)</f>
        <v>519000</v>
      </c>
      <c r="E156" s="30">
        <f t="shared" si="140"/>
        <v>4994000</v>
      </c>
      <c r="F156" s="30">
        <f t="shared" si="140"/>
        <v>519000</v>
      </c>
      <c r="G156" s="30">
        <f t="shared" si="140"/>
        <v>519000</v>
      </c>
      <c r="H156" s="30">
        <f t="shared" si="140"/>
        <v>3518000</v>
      </c>
      <c r="I156" s="30">
        <f t="shared" si="140"/>
        <v>519000</v>
      </c>
      <c r="J156" s="30">
        <f t="shared" si="140"/>
        <v>519000</v>
      </c>
      <c r="K156" s="30">
        <f t="shared" si="140"/>
        <v>519000</v>
      </c>
      <c r="L156" s="30">
        <f t="shared" si="140"/>
        <v>519000</v>
      </c>
      <c r="M156" s="30">
        <f t="shared" si="140"/>
        <v>519000</v>
      </c>
      <c r="N156" s="30">
        <f t="shared" si="140"/>
        <v>519000</v>
      </c>
      <c r="O156" s="391">
        <f t="shared" si="140"/>
        <v>18488000</v>
      </c>
      <c r="P156" s="49">
        <f t="shared" si="139"/>
        <v>4.2047119828655166E-2</v>
      </c>
    </row>
    <row r="157" spans="1:16" x14ac:dyDescent="0.35">
      <c r="A157" s="154" t="s">
        <v>14</v>
      </c>
      <c r="B157" s="294">
        <v>807000</v>
      </c>
      <c r="C157" s="62">
        <f>ROUND(((+$B$157*$B$62)+$B$157),-3)</f>
        <v>841000</v>
      </c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385">
        <f t="shared" si="131"/>
        <v>841000</v>
      </c>
      <c r="P157" s="49">
        <f t="shared" si="139"/>
        <v>4.2131350681536554E-2</v>
      </c>
    </row>
    <row r="158" spans="1:16" x14ac:dyDescent="0.35">
      <c r="A158" s="154" t="s">
        <v>15</v>
      </c>
      <c r="B158" s="294">
        <v>0</v>
      </c>
      <c r="C158" s="50"/>
      <c r="D158" s="58"/>
      <c r="E158" s="58"/>
      <c r="F158" s="50"/>
      <c r="G158" s="58"/>
      <c r="H158" s="58"/>
      <c r="I158" s="58"/>
      <c r="J158" s="58"/>
      <c r="K158" s="58"/>
      <c r="L158" s="58"/>
      <c r="M158" s="58"/>
      <c r="N158" s="58"/>
      <c r="O158" s="385">
        <f t="shared" si="131"/>
        <v>0</v>
      </c>
      <c r="P158" s="49">
        <v>0</v>
      </c>
    </row>
    <row r="159" spans="1:16" x14ac:dyDescent="0.35">
      <c r="A159" s="154" t="s">
        <v>16</v>
      </c>
      <c r="B159" s="294">
        <v>40000</v>
      </c>
      <c r="C159" s="62">
        <f>ROUND(((+$B$159*$B$62)+$B$159),-3)</f>
        <v>42000</v>
      </c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385">
        <f t="shared" si="131"/>
        <v>42000</v>
      </c>
      <c r="P159" s="49">
        <f t="shared" si="139"/>
        <v>0.05</v>
      </c>
    </row>
    <row r="160" spans="1:16" x14ac:dyDescent="0.35">
      <c r="A160" s="154" t="s">
        <v>17</v>
      </c>
      <c r="B160" s="294">
        <v>1230000</v>
      </c>
      <c r="C160" s="62">
        <f>ROUND(((+$B$160*$B$62)+$B$160),-3)</f>
        <v>1282000</v>
      </c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385">
        <f t="shared" si="131"/>
        <v>1282000</v>
      </c>
      <c r="P160" s="49">
        <f t="shared" si="139"/>
        <v>4.2276422764227641E-2</v>
      </c>
    </row>
    <row r="161" spans="1:16" x14ac:dyDescent="0.35">
      <c r="A161" s="154" t="s">
        <v>217</v>
      </c>
      <c r="B161" s="294">
        <v>1835000</v>
      </c>
      <c r="C161" s="62">
        <f>ROUND(((+$B$161*$B$62)+$B$161),-3)</f>
        <v>1912000</v>
      </c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385">
        <f t="shared" si="131"/>
        <v>1912000</v>
      </c>
      <c r="P161" s="49">
        <f t="shared" si="139"/>
        <v>4.1961852861035424E-2</v>
      </c>
    </row>
    <row r="162" spans="1:16" x14ac:dyDescent="0.35">
      <c r="A162" s="154" t="s">
        <v>18</v>
      </c>
      <c r="B162" s="294">
        <v>34000</v>
      </c>
      <c r="C162" s="62">
        <f>ROUND(((+$B$162*$B$62)+$B$162),-3)</f>
        <v>35000</v>
      </c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385">
        <f t="shared" si="131"/>
        <v>35000</v>
      </c>
      <c r="P162" s="49">
        <f t="shared" si="139"/>
        <v>2.9411764705882353E-2</v>
      </c>
    </row>
    <row r="163" spans="1:16" x14ac:dyDescent="0.35">
      <c r="A163" s="154" t="s">
        <v>20</v>
      </c>
      <c r="B163" s="299">
        <v>5976000</v>
      </c>
      <c r="C163" s="50">
        <f t="shared" ref="C163:N163" si="141">ROUND((((+$B$163*$B$62)+$B$163))/12,-3)</f>
        <v>519000</v>
      </c>
      <c r="D163" s="50">
        <f t="shared" si="141"/>
        <v>519000</v>
      </c>
      <c r="E163" s="50">
        <f t="shared" si="141"/>
        <v>519000</v>
      </c>
      <c r="F163" s="50">
        <f t="shared" si="141"/>
        <v>519000</v>
      </c>
      <c r="G163" s="50">
        <f t="shared" si="141"/>
        <v>519000</v>
      </c>
      <c r="H163" s="50">
        <f t="shared" si="141"/>
        <v>519000</v>
      </c>
      <c r="I163" s="50">
        <f t="shared" si="141"/>
        <v>519000</v>
      </c>
      <c r="J163" s="50">
        <f t="shared" si="141"/>
        <v>519000</v>
      </c>
      <c r="K163" s="50">
        <f t="shared" si="141"/>
        <v>519000</v>
      </c>
      <c r="L163" s="50">
        <f t="shared" si="141"/>
        <v>519000</v>
      </c>
      <c r="M163" s="50">
        <f t="shared" si="141"/>
        <v>519000</v>
      </c>
      <c r="N163" s="50">
        <f t="shared" si="141"/>
        <v>519000</v>
      </c>
      <c r="O163" s="385">
        <f>SUM(C163:N163)</f>
        <v>6228000</v>
      </c>
      <c r="P163" s="49">
        <f>+(O163-B163)/B163</f>
        <v>4.2168674698795178E-2</v>
      </c>
    </row>
    <row r="164" spans="1:16" x14ac:dyDescent="0.35">
      <c r="A164" s="154" t="s">
        <v>371</v>
      </c>
      <c r="B164" s="299">
        <v>2878000</v>
      </c>
      <c r="C164" s="50"/>
      <c r="D164" s="50"/>
      <c r="E164" s="50"/>
      <c r="F164" s="50"/>
      <c r="G164" s="50"/>
      <c r="H164" s="50">
        <f>ROUND((((+$B$164*$B$62)+$B$164)),-3)</f>
        <v>2999000</v>
      </c>
      <c r="I164" s="50"/>
      <c r="J164" s="50"/>
      <c r="K164" s="50"/>
      <c r="L164" s="50"/>
      <c r="M164" s="50"/>
      <c r="N164" s="50"/>
      <c r="O164" s="385">
        <f>SUM(C164:N164)</f>
        <v>2999000</v>
      </c>
      <c r="P164" s="49">
        <f>+(O164-B164)/B164</f>
        <v>4.2043085476025019E-2</v>
      </c>
    </row>
    <row r="165" spans="1:16" x14ac:dyDescent="0.35">
      <c r="A165" s="154" t="s">
        <v>218</v>
      </c>
      <c r="B165" s="294">
        <v>167000</v>
      </c>
      <c r="C165" s="50">
        <f>ROUND((((+$B$165*$B$62)+$B$165)),-3)</f>
        <v>174000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385">
        <f>SUM(C165:N165)</f>
        <v>174000</v>
      </c>
      <c r="P165" s="49">
        <f>+(O165-B165)/B165</f>
        <v>4.1916167664670656E-2</v>
      </c>
    </row>
    <row r="166" spans="1:16" x14ac:dyDescent="0.35">
      <c r="A166" s="154" t="s">
        <v>19</v>
      </c>
      <c r="B166" s="300">
        <f>SUM(B167:B168)</f>
        <v>4775000</v>
      </c>
      <c r="C166" s="30">
        <f>SUM(C167:C168)</f>
        <v>500000</v>
      </c>
      <c r="D166" s="30">
        <f t="shared" ref="D166:O166" si="142">SUM(D167:D168)</f>
        <v>0</v>
      </c>
      <c r="E166" s="30">
        <f t="shared" si="142"/>
        <v>4475000</v>
      </c>
      <c r="F166" s="30">
        <f t="shared" si="142"/>
        <v>0</v>
      </c>
      <c r="G166" s="30">
        <f t="shared" si="142"/>
        <v>0</v>
      </c>
      <c r="H166" s="30">
        <f t="shared" si="142"/>
        <v>0</v>
      </c>
      <c r="I166" s="30">
        <f t="shared" si="142"/>
        <v>0</v>
      </c>
      <c r="J166" s="30">
        <f t="shared" si="142"/>
        <v>0</v>
      </c>
      <c r="K166" s="30">
        <f t="shared" si="142"/>
        <v>0</v>
      </c>
      <c r="L166" s="30">
        <f t="shared" si="142"/>
        <v>0</v>
      </c>
      <c r="M166" s="30">
        <f t="shared" si="142"/>
        <v>0</v>
      </c>
      <c r="N166" s="30">
        <f t="shared" si="142"/>
        <v>0</v>
      </c>
      <c r="O166" s="387">
        <f t="shared" si="142"/>
        <v>4975000</v>
      </c>
      <c r="P166" s="49">
        <f t="shared" si="139"/>
        <v>4.1884816753926704E-2</v>
      </c>
    </row>
    <row r="167" spans="1:16" x14ac:dyDescent="0.35">
      <c r="A167" s="154" t="s">
        <v>21</v>
      </c>
      <c r="B167" s="294">
        <v>480000</v>
      </c>
      <c r="C167" s="50">
        <f>ROUND((((+$B$167*$B$62)+$B$167)),-3)</f>
        <v>500000</v>
      </c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385">
        <f t="shared" si="131"/>
        <v>500000</v>
      </c>
      <c r="P167" s="49">
        <f t="shared" si="139"/>
        <v>4.1666666666666664E-2</v>
      </c>
    </row>
    <row r="168" spans="1:16" x14ac:dyDescent="0.35">
      <c r="A168" s="154" t="s">
        <v>35</v>
      </c>
      <c r="B168" s="294">
        <v>4295000</v>
      </c>
      <c r="C168" s="50">
        <v>0</v>
      </c>
      <c r="D168" s="50">
        <v>0</v>
      </c>
      <c r="E168" s="50">
        <f>ROUND((((+$B$168*$B$62)+$B$168)),-3)</f>
        <v>4475000</v>
      </c>
      <c r="F168" s="50">
        <v>0</v>
      </c>
      <c r="G168" s="62"/>
      <c r="H168" s="62"/>
      <c r="I168" s="62"/>
      <c r="J168" s="62"/>
      <c r="K168" s="62"/>
      <c r="L168" s="62"/>
      <c r="M168" s="62"/>
      <c r="N168" s="62"/>
      <c r="O168" s="385">
        <f t="shared" si="131"/>
        <v>4475000</v>
      </c>
      <c r="P168" s="49">
        <f t="shared" ref="P168" si="143">+(O168-B168)/B168</f>
        <v>4.190919674039581E-2</v>
      </c>
    </row>
    <row r="169" spans="1:16" x14ac:dyDescent="0.35">
      <c r="A169" s="29" t="s">
        <v>22</v>
      </c>
      <c r="B169" s="300">
        <f t="shared" ref="B169:O169" si="144">+B170+B177+B178+B182+B186+B201+B209+B232+B207</f>
        <v>241933014</v>
      </c>
      <c r="C169" s="30">
        <f t="shared" si="144"/>
        <v>44415000</v>
      </c>
      <c r="D169" s="30">
        <f t="shared" si="144"/>
        <v>26725000</v>
      </c>
      <c r="E169" s="30">
        <f t="shared" si="144"/>
        <v>31859000</v>
      </c>
      <c r="F169" s="30">
        <f t="shared" si="144"/>
        <v>28309000</v>
      </c>
      <c r="G169" s="30">
        <f t="shared" si="144"/>
        <v>15601000</v>
      </c>
      <c r="H169" s="30">
        <f t="shared" si="144"/>
        <v>15421000</v>
      </c>
      <c r="I169" s="30">
        <f t="shared" si="144"/>
        <v>13501000</v>
      </c>
      <c r="J169" s="30">
        <f t="shared" si="144"/>
        <v>18471000</v>
      </c>
      <c r="K169" s="30">
        <f t="shared" si="144"/>
        <v>19509000</v>
      </c>
      <c r="L169" s="30">
        <f t="shared" si="144"/>
        <v>17042000</v>
      </c>
      <c r="M169" s="30">
        <f t="shared" si="144"/>
        <v>20738000</v>
      </c>
      <c r="N169" s="30">
        <f t="shared" si="144"/>
        <v>20235000</v>
      </c>
      <c r="O169" s="387">
        <f t="shared" si="144"/>
        <v>271826000</v>
      </c>
      <c r="P169" s="49">
        <f t="shared" ref="P169:P200" si="145">+(O169-B169)/B169</f>
        <v>0.12355893685514123</v>
      </c>
    </row>
    <row r="170" spans="1:16" x14ac:dyDescent="0.35">
      <c r="A170" s="154" t="s">
        <v>23</v>
      </c>
      <c r="B170" s="300">
        <f t="shared" ref="B170:O170" si="146">SUM(B171:B176)</f>
        <v>29923000</v>
      </c>
      <c r="C170" s="50">
        <f t="shared" si="146"/>
        <v>2170000</v>
      </c>
      <c r="D170" s="50">
        <f t="shared" si="146"/>
        <v>2170000</v>
      </c>
      <c r="E170" s="50">
        <f t="shared" si="146"/>
        <v>2170000</v>
      </c>
      <c r="F170" s="50">
        <f t="shared" si="146"/>
        <v>7302000</v>
      </c>
      <c r="G170" s="50">
        <f t="shared" si="146"/>
        <v>2170000</v>
      </c>
      <c r="H170" s="50">
        <f t="shared" si="146"/>
        <v>2170000</v>
      </c>
      <c r="I170" s="50">
        <f t="shared" si="146"/>
        <v>2170000</v>
      </c>
      <c r="J170" s="50">
        <f t="shared" si="146"/>
        <v>2170000</v>
      </c>
      <c r="K170" s="50">
        <f t="shared" si="146"/>
        <v>2170000</v>
      </c>
      <c r="L170" s="50">
        <f t="shared" si="146"/>
        <v>2170000</v>
      </c>
      <c r="M170" s="50">
        <f t="shared" si="146"/>
        <v>2170000</v>
      </c>
      <c r="N170" s="50">
        <f t="shared" si="146"/>
        <v>2170000</v>
      </c>
      <c r="O170" s="387">
        <f t="shared" si="146"/>
        <v>31172000</v>
      </c>
      <c r="P170" s="49">
        <f t="shared" si="145"/>
        <v>4.1740467199144468E-2</v>
      </c>
    </row>
    <row r="171" spans="1:16" x14ac:dyDescent="0.35">
      <c r="A171" s="154" t="s">
        <v>30</v>
      </c>
      <c r="B171" s="294">
        <v>450000</v>
      </c>
      <c r="C171" s="50">
        <f t="shared" ref="C171:N171" si="147">ROUND(((+$B$171*$B$62)+$B$171)/12,-3)</f>
        <v>39000</v>
      </c>
      <c r="D171" s="50">
        <f t="shared" si="147"/>
        <v>39000</v>
      </c>
      <c r="E171" s="50">
        <f t="shared" si="147"/>
        <v>39000</v>
      </c>
      <c r="F171" s="50">
        <f t="shared" si="147"/>
        <v>39000</v>
      </c>
      <c r="G171" s="50">
        <f t="shared" si="147"/>
        <v>39000</v>
      </c>
      <c r="H171" s="50">
        <f t="shared" si="147"/>
        <v>39000</v>
      </c>
      <c r="I171" s="50">
        <f t="shared" si="147"/>
        <v>39000</v>
      </c>
      <c r="J171" s="50">
        <f t="shared" si="147"/>
        <v>39000</v>
      </c>
      <c r="K171" s="50">
        <f t="shared" si="147"/>
        <v>39000</v>
      </c>
      <c r="L171" s="50">
        <f t="shared" si="147"/>
        <v>39000</v>
      </c>
      <c r="M171" s="50">
        <f t="shared" si="147"/>
        <v>39000</v>
      </c>
      <c r="N171" s="50">
        <f t="shared" si="147"/>
        <v>39000</v>
      </c>
      <c r="O171" s="385">
        <f t="shared" ref="O171:O231" si="148">SUM(C171:N171)</f>
        <v>468000</v>
      </c>
      <c r="P171" s="49">
        <f t="shared" si="145"/>
        <v>0.04</v>
      </c>
    </row>
    <row r="172" spans="1:16" x14ac:dyDescent="0.35">
      <c r="A172" s="154" t="s">
        <v>515</v>
      </c>
      <c r="B172" s="294">
        <v>4925000</v>
      </c>
      <c r="C172" s="50">
        <v>0</v>
      </c>
      <c r="D172" s="50">
        <v>0</v>
      </c>
      <c r="E172" s="50">
        <v>0</v>
      </c>
      <c r="F172" s="50">
        <f>ROUND(((+$B$172*$B$62)+$B$172)/1,-3)</f>
        <v>5132000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385">
        <f t="shared" si="148"/>
        <v>5132000</v>
      </c>
      <c r="P172" s="49">
        <f t="shared" si="145"/>
        <v>4.203045685279188E-2</v>
      </c>
    </row>
    <row r="173" spans="1:16" x14ac:dyDescent="0.35">
      <c r="A173" s="154" t="s">
        <v>31</v>
      </c>
      <c r="B173" s="294">
        <v>20820000</v>
      </c>
      <c r="C173" s="50">
        <f t="shared" ref="C173:N173" si="149">ROUND(((+$B$173*$B$62)+$B$173)/12,-3)</f>
        <v>1808000</v>
      </c>
      <c r="D173" s="50">
        <f t="shared" si="149"/>
        <v>1808000</v>
      </c>
      <c r="E173" s="50">
        <f t="shared" si="149"/>
        <v>1808000</v>
      </c>
      <c r="F173" s="50">
        <f t="shared" si="149"/>
        <v>1808000</v>
      </c>
      <c r="G173" s="50">
        <f t="shared" si="149"/>
        <v>1808000</v>
      </c>
      <c r="H173" s="50">
        <f t="shared" si="149"/>
        <v>1808000</v>
      </c>
      <c r="I173" s="50">
        <f t="shared" si="149"/>
        <v>1808000</v>
      </c>
      <c r="J173" s="50">
        <f t="shared" si="149"/>
        <v>1808000</v>
      </c>
      <c r="K173" s="50">
        <f t="shared" si="149"/>
        <v>1808000</v>
      </c>
      <c r="L173" s="50">
        <f t="shared" si="149"/>
        <v>1808000</v>
      </c>
      <c r="M173" s="50">
        <f t="shared" si="149"/>
        <v>1808000</v>
      </c>
      <c r="N173" s="50">
        <f t="shared" si="149"/>
        <v>1808000</v>
      </c>
      <c r="O173" s="385">
        <f t="shared" si="148"/>
        <v>21696000</v>
      </c>
      <c r="P173" s="49">
        <f t="shared" si="145"/>
        <v>4.2074927953890492E-2</v>
      </c>
    </row>
    <row r="174" spans="1:16" x14ac:dyDescent="0.35">
      <c r="A174" s="154" t="s">
        <v>32</v>
      </c>
      <c r="B174" s="294">
        <v>1398000</v>
      </c>
      <c r="C174" s="50">
        <f t="shared" ref="C174:N174" si="150">ROUND(((+$B$174*$B$62)+$B$174)/12,-3)</f>
        <v>121000</v>
      </c>
      <c r="D174" s="50">
        <f t="shared" si="150"/>
        <v>121000</v>
      </c>
      <c r="E174" s="50">
        <f t="shared" si="150"/>
        <v>121000</v>
      </c>
      <c r="F174" s="50">
        <f t="shared" si="150"/>
        <v>121000</v>
      </c>
      <c r="G174" s="50">
        <f t="shared" si="150"/>
        <v>121000</v>
      </c>
      <c r="H174" s="50">
        <f t="shared" si="150"/>
        <v>121000</v>
      </c>
      <c r="I174" s="50">
        <f t="shared" si="150"/>
        <v>121000</v>
      </c>
      <c r="J174" s="50">
        <f t="shared" si="150"/>
        <v>121000</v>
      </c>
      <c r="K174" s="50">
        <f t="shared" si="150"/>
        <v>121000</v>
      </c>
      <c r="L174" s="50">
        <f t="shared" si="150"/>
        <v>121000</v>
      </c>
      <c r="M174" s="50">
        <f t="shared" si="150"/>
        <v>121000</v>
      </c>
      <c r="N174" s="50">
        <f t="shared" si="150"/>
        <v>121000</v>
      </c>
      <c r="O174" s="385">
        <f t="shared" si="148"/>
        <v>1452000</v>
      </c>
      <c r="P174" s="49">
        <f t="shared" si="145"/>
        <v>3.8626609442060089E-2</v>
      </c>
    </row>
    <row r="175" spans="1:16" x14ac:dyDescent="0.35">
      <c r="A175" s="154" t="s">
        <v>33</v>
      </c>
      <c r="B175" s="294">
        <v>1040000</v>
      </c>
      <c r="C175" s="50">
        <f t="shared" ref="C175:N175" si="151">ROUND(((+$B$175*$B$62)+$B$175)/12,-3)</f>
        <v>90000</v>
      </c>
      <c r="D175" s="50">
        <f t="shared" si="151"/>
        <v>90000</v>
      </c>
      <c r="E175" s="50">
        <f t="shared" si="151"/>
        <v>90000</v>
      </c>
      <c r="F175" s="50">
        <f t="shared" si="151"/>
        <v>90000</v>
      </c>
      <c r="G175" s="50">
        <f t="shared" si="151"/>
        <v>90000</v>
      </c>
      <c r="H175" s="50">
        <f t="shared" si="151"/>
        <v>90000</v>
      </c>
      <c r="I175" s="50">
        <f t="shared" si="151"/>
        <v>90000</v>
      </c>
      <c r="J175" s="50">
        <f t="shared" si="151"/>
        <v>90000</v>
      </c>
      <c r="K175" s="50">
        <f t="shared" si="151"/>
        <v>90000</v>
      </c>
      <c r="L175" s="50">
        <f t="shared" si="151"/>
        <v>90000</v>
      </c>
      <c r="M175" s="50">
        <f t="shared" si="151"/>
        <v>90000</v>
      </c>
      <c r="N175" s="50">
        <f t="shared" si="151"/>
        <v>90000</v>
      </c>
      <c r="O175" s="385">
        <f t="shared" si="148"/>
        <v>1080000</v>
      </c>
      <c r="P175" s="49">
        <f t="shared" si="145"/>
        <v>3.8461538461538464E-2</v>
      </c>
    </row>
    <row r="176" spans="1:16" x14ac:dyDescent="0.35">
      <c r="A176" s="154" t="s">
        <v>34</v>
      </c>
      <c r="B176" s="294">
        <v>1290000</v>
      </c>
      <c r="C176" s="50">
        <f t="shared" ref="C176:N176" si="152">ROUND(((+$B$176*$B$62)+$B$176)/12,-3)</f>
        <v>112000</v>
      </c>
      <c r="D176" s="50">
        <f t="shared" si="152"/>
        <v>112000</v>
      </c>
      <c r="E176" s="50">
        <f t="shared" si="152"/>
        <v>112000</v>
      </c>
      <c r="F176" s="50">
        <f t="shared" si="152"/>
        <v>112000</v>
      </c>
      <c r="G176" s="50">
        <f t="shared" si="152"/>
        <v>112000</v>
      </c>
      <c r="H176" s="50">
        <f t="shared" si="152"/>
        <v>112000</v>
      </c>
      <c r="I176" s="50">
        <f t="shared" si="152"/>
        <v>112000</v>
      </c>
      <c r="J176" s="50">
        <f t="shared" si="152"/>
        <v>112000</v>
      </c>
      <c r="K176" s="50">
        <f t="shared" si="152"/>
        <v>112000</v>
      </c>
      <c r="L176" s="50">
        <f t="shared" si="152"/>
        <v>112000</v>
      </c>
      <c r="M176" s="50">
        <f t="shared" si="152"/>
        <v>112000</v>
      </c>
      <c r="N176" s="50">
        <f t="shared" si="152"/>
        <v>112000</v>
      </c>
      <c r="O176" s="385">
        <f t="shared" si="148"/>
        <v>1344000</v>
      </c>
      <c r="P176" s="49">
        <f t="shared" si="145"/>
        <v>4.1860465116279069E-2</v>
      </c>
    </row>
    <row r="177" spans="1:16" x14ac:dyDescent="0.35">
      <c r="A177" s="154" t="s">
        <v>24</v>
      </c>
      <c r="B177" s="300">
        <v>0</v>
      </c>
      <c r="C177" s="50">
        <v>0</v>
      </c>
      <c r="D177" s="50">
        <v>0</v>
      </c>
      <c r="E177" s="50">
        <v>0</v>
      </c>
      <c r="F177" s="50">
        <v>780000</v>
      </c>
      <c r="G177" s="50">
        <v>780000</v>
      </c>
      <c r="H177" s="50">
        <v>780000</v>
      </c>
      <c r="I177" s="58"/>
      <c r="J177" s="58"/>
      <c r="K177" s="58"/>
      <c r="L177" s="58"/>
      <c r="M177" s="50">
        <v>0</v>
      </c>
      <c r="N177" s="50">
        <v>0</v>
      </c>
      <c r="O177" s="387">
        <f t="shared" si="148"/>
        <v>2340000</v>
      </c>
      <c r="P177" s="49">
        <v>1</v>
      </c>
    </row>
    <row r="178" spans="1:16" x14ac:dyDescent="0.35">
      <c r="A178" s="154" t="s">
        <v>25</v>
      </c>
      <c r="B178" s="317">
        <f t="shared" ref="B178:O178" si="153">SUM(B179:B181)</f>
        <v>2012000</v>
      </c>
      <c r="C178" s="50">
        <f t="shared" si="153"/>
        <v>174000</v>
      </c>
      <c r="D178" s="50">
        <f t="shared" si="153"/>
        <v>174000</v>
      </c>
      <c r="E178" s="50">
        <f t="shared" si="153"/>
        <v>174000</v>
      </c>
      <c r="F178" s="50">
        <f t="shared" si="153"/>
        <v>174000</v>
      </c>
      <c r="G178" s="50">
        <f t="shared" si="153"/>
        <v>174000</v>
      </c>
      <c r="H178" s="50">
        <f t="shared" si="153"/>
        <v>174000</v>
      </c>
      <c r="I178" s="50">
        <f t="shared" si="153"/>
        <v>174000</v>
      </c>
      <c r="J178" s="50">
        <f t="shared" si="153"/>
        <v>174000</v>
      </c>
      <c r="K178" s="50">
        <f t="shared" si="153"/>
        <v>174000</v>
      </c>
      <c r="L178" s="50">
        <f t="shared" si="153"/>
        <v>174000</v>
      </c>
      <c r="M178" s="50">
        <f t="shared" si="153"/>
        <v>174000</v>
      </c>
      <c r="N178" s="50">
        <f t="shared" si="153"/>
        <v>174000</v>
      </c>
      <c r="O178" s="387">
        <f t="shared" si="153"/>
        <v>2088000</v>
      </c>
      <c r="P178" s="49">
        <f t="shared" si="145"/>
        <v>3.7773359840954271E-2</v>
      </c>
    </row>
    <row r="179" spans="1:16" x14ac:dyDescent="0.35">
      <c r="A179" s="154" t="s">
        <v>38</v>
      </c>
      <c r="B179" s="294">
        <v>1594000</v>
      </c>
      <c r="C179" s="50">
        <f t="shared" ref="C179:N179" si="154">ROUND(((+$B$179*$B$62)+$B$179)/12,-3)</f>
        <v>138000</v>
      </c>
      <c r="D179" s="50">
        <f t="shared" si="154"/>
        <v>138000</v>
      </c>
      <c r="E179" s="50">
        <f t="shared" si="154"/>
        <v>138000</v>
      </c>
      <c r="F179" s="50">
        <f t="shared" si="154"/>
        <v>138000</v>
      </c>
      <c r="G179" s="50">
        <f t="shared" si="154"/>
        <v>138000</v>
      </c>
      <c r="H179" s="50">
        <f t="shared" si="154"/>
        <v>138000</v>
      </c>
      <c r="I179" s="50">
        <f t="shared" si="154"/>
        <v>138000</v>
      </c>
      <c r="J179" s="50">
        <f t="shared" si="154"/>
        <v>138000</v>
      </c>
      <c r="K179" s="50">
        <f t="shared" si="154"/>
        <v>138000</v>
      </c>
      <c r="L179" s="50">
        <f t="shared" si="154"/>
        <v>138000</v>
      </c>
      <c r="M179" s="50">
        <f t="shared" si="154"/>
        <v>138000</v>
      </c>
      <c r="N179" s="50">
        <f t="shared" si="154"/>
        <v>138000</v>
      </c>
      <c r="O179" s="385">
        <f t="shared" si="148"/>
        <v>1656000</v>
      </c>
      <c r="P179" s="49">
        <f t="shared" si="145"/>
        <v>3.889585947302384E-2</v>
      </c>
    </row>
    <row r="180" spans="1:16" x14ac:dyDescent="0.35">
      <c r="A180" s="154" t="s">
        <v>679</v>
      </c>
      <c r="B180" s="294">
        <v>220000</v>
      </c>
      <c r="C180" s="50">
        <f t="shared" ref="C180:N180" si="155">ROUND(((+$B$180*$B$62)+$B$180)/12,-3)</f>
        <v>19000</v>
      </c>
      <c r="D180" s="50">
        <f t="shared" si="155"/>
        <v>19000</v>
      </c>
      <c r="E180" s="50">
        <f t="shared" si="155"/>
        <v>19000</v>
      </c>
      <c r="F180" s="50">
        <f t="shared" si="155"/>
        <v>19000</v>
      </c>
      <c r="G180" s="50">
        <f t="shared" si="155"/>
        <v>19000</v>
      </c>
      <c r="H180" s="50">
        <f t="shared" si="155"/>
        <v>19000</v>
      </c>
      <c r="I180" s="50">
        <f t="shared" si="155"/>
        <v>19000</v>
      </c>
      <c r="J180" s="50">
        <f t="shared" si="155"/>
        <v>19000</v>
      </c>
      <c r="K180" s="50">
        <f t="shared" si="155"/>
        <v>19000</v>
      </c>
      <c r="L180" s="50">
        <f t="shared" si="155"/>
        <v>19000</v>
      </c>
      <c r="M180" s="50">
        <f t="shared" si="155"/>
        <v>19000</v>
      </c>
      <c r="N180" s="50">
        <f t="shared" si="155"/>
        <v>19000</v>
      </c>
      <c r="O180" s="385">
        <f t="shared" si="148"/>
        <v>228000</v>
      </c>
      <c r="P180" s="49">
        <f t="shared" si="145"/>
        <v>3.6363636363636362E-2</v>
      </c>
    </row>
    <row r="181" spans="1:16" x14ac:dyDescent="0.35">
      <c r="A181" s="154" t="s">
        <v>37</v>
      </c>
      <c r="B181" s="294">
        <v>198000</v>
      </c>
      <c r="C181" s="50">
        <f t="shared" ref="C181:N181" si="156">ROUND(((+$B$181*$B$62)+$B$181)/12,-3)</f>
        <v>17000</v>
      </c>
      <c r="D181" s="50">
        <f t="shared" si="156"/>
        <v>17000</v>
      </c>
      <c r="E181" s="50">
        <f t="shared" si="156"/>
        <v>17000</v>
      </c>
      <c r="F181" s="50">
        <f t="shared" si="156"/>
        <v>17000</v>
      </c>
      <c r="G181" s="50">
        <f t="shared" si="156"/>
        <v>17000</v>
      </c>
      <c r="H181" s="50">
        <f t="shared" si="156"/>
        <v>17000</v>
      </c>
      <c r="I181" s="50">
        <f t="shared" si="156"/>
        <v>17000</v>
      </c>
      <c r="J181" s="50">
        <f t="shared" si="156"/>
        <v>17000</v>
      </c>
      <c r="K181" s="50">
        <f t="shared" si="156"/>
        <v>17000</v>
      </c>
      <c r="L181" s="50">
        <f t="shared" si="156"/>
        <v>17000</v>
      </c>
      <c r="M181" s="50">
        <f t="shared" si="156"/>
        <v>17000</v>
      </c>
      <c r="N181" s="50">
        <f t="shared" si="156"/>
        <v>17000</v>
      </c>
      <c r="O181" s="385">
        <f t="shared" si="148"/>
        <v>204000</v>
      </c>
      <c r="P181" s="49">
        <f t="shared" si="145"/>
        <v>3.0303030303030304E-2</v>
      </c>
    </row>
    <row r="182" spans="1:16" x14ac:dyDescent="0.35">
      <c r="A182" s="154" t="s">
        <v>26</v>
      </c>
      <c r="B182" s="300">
        <f t="shared" ref="B182:O182" si="157">SUM(B183:B185)</f>
        <v>43269000</v>
      </c>
      <c r="C182" s="50">
        <f>SUM(C183:C185)</f>
        <v>3758000</v>
      </c>
      <c r="D182" s="50">
        <f t="shared" si="157"/>
        <v>3758000</v>
      </c>
      <c r="E182" s="50">
        <f t="shared" si="157"/>
        <v>3758000</v>
      </c>
      <c r="F182" s="50">
        <f t="shared" si="157"/>
        <v>3758000</v>
      </c>
      <c r="G182" s="50">
        <f t="shared" si="157"/>
        <v>3758000</v>
      </c>
      <c r="H182" s="50">
        <f t="shared" si="157"/>
        <v>3758000</v>
      </c>
      <c r="I182" s="50">
        <f t="shared" si="157"/>
        <v>3758000</v>
      </c>
      <c r="J182" s="50">
        <f t="shared" si="157"/>
        <v>3758000</v>
      </c>
      <c r="K182" s="50">
        <f t="shared" si="157"/>
        <v>3758000</v>
      </c>
      <c r="L182" s="50">
        <f t="shared" si="157"/>
        <v>3758000</v>
      </c>
      <c r="M182" s="50">
        <f t="shared" si="157"/>
        <v>3758000</v>
      </c>
      <c r="N182" s="50">
        <f t="shared" si="157"/>
        <v>3758000</v>
      </c>
      <c r="O182" s="387">
        <f t="shared" si="157"/>
        <v>45096000</v>
      </c>
      <c r="P182" s="49">
        <f t="shared" si="145"/>
        <v>4.2224225195867708E-2</v>
      </c>
    </row>
    <row r="183" spans="1:16" x14ac:dyDescent="0.35">
      <c r="A183" s="154" t="s">
        <v>39</v>
      </c>
      <c r="B183" s="294">
        <v>35914000</v>
      </c>
      <c r="C183" s="50">
        <f t="shared" ref="C183:N183" si="158">ROUND(((+$B$183*$B$62)+$B$183)/12,-3)</f>
        <v>3119000</v>
      </c>
      <c r="D183" s="50">
        <f t="shared" si="158"/>
        <v>3119000</v>
      </c>
      <c r="E183" s="50">
        <f t="shared" si="158"/>
        <v>3119000</v>
      </c>
      <c r="F183" s="50">
        <f t="shared" si="158"/>
        <v>3119000</v>
      </c>
      <c r="G183" s="50">
        <f t="shared" si="158"/>
        <v>3119000</v>
      </c>
      <c r="H183" s="50">
        <f t="shared" si="158"/>
        <v>3119000</v>
      </c>
      <c r="I183" s="50">
        <f t="shared" si="158"/>
        <v>3119000</v>
      </c>
      <c r="J183" s="50">
        <f t="shared" si="158"/>
        <v>3119000</v>
      </c>
      <c r="K183" s="50">
        <f t="shared" si="158"/>
        <v>3119000</v>
      </c>
      <c r="L183" s="50">
        <f t="shared" si="158"/>
        <v>3119000</v>
      </c>
      <c r="M183" s="50">
        <f t="shared" si="158"/>
        <v>3119000</v>
      </c>
      <c r="N183" s="50">
        <f t="shared" si="158"/>
        <v>3119000</v>
      </c>
      <c r="O183" s="385">
        <f t="shared" si="148"/>
        <v>37428000</v>
      </c>
      <c r="P183" s="49">
        <f t="shared" si="145"/>
        <v>4.2156262181878935E-2</v>
      </c>
    </row>
    <row r="184" spans="1:16" x14ac:dyDescent="0.35">
      <c r="A184" s="154" t="s">
        <v>40</v>
      </c>
      <c r="B184" s="294">
        <v>3405000</v>
      </c>
      <c r="C184" s="50">
        <f t="shared" ref="C184:N184" si="159">ROUND(((+$B$184*$B$62)+$B$184)/12,-3)</f>
        <v>296000</v>
      </c>
      <c r="D184" s="50">
        <f t="shared" si="159"/>
        <v>296000</v>
      </c>
      <c r="E184" s="50">
        <f t="shared" si="159"/>
        <v>296000</v>
      </c>
      <c r="F184" s="50">
        <f t="shared" si="159"/>
        <v>296000</v>
      </c>
      <c r="G184" s="50">
        <f t="shared" si="159"/>
        <v>296000</v>
      </c>
      <c r="H184" s="50">
        <f t="shared" si="159"/>
        <v>296000</v>
      </c>
      <c r="I184" s="50">
        <f t="shared" si="159"/>
        <v>296000</v>
      </c>
      <c r="J184" s="50">
        <f t="shared" si="159"/>
        <v>296000</v>
      </c>
      <c r="K184" s="50">
        <f t="shared" si="159"/>
        <v>296000</v>
      </c>
      <c r="L184" s="50">
        <f t="shared" si="159"/>
        <v>296000</v>
      </c>
      <c r="M184" s="50">
        <f t="shared" si="159"/>
        <v>296000</v>
      </c>
      <c r="N184" s="50">
        <f t="shared" si="159"/>
        <v>296000</v>
      </c>
      <c r="O184" s="385">
        <f t="shared" si="148"/>
        <v>3552000</v>
      </c>
      <c r="P184" s="49">
        <f t="shared" si="145"/>
        <v>4.3171806167400878E-2</v>
      </c>
    </row>
    <row r="185" spans="1:16" x14ac:dyDescent="0.35">
      <c r="A185" s="154" t="s">
        <v>41</v>
      </c>
      <c r="B185" s="294">
        <v>3950000</v>
      </c>
      <c r="C185" s="50">
        <f t="shared" ref="C185:N185" si="160">ROUND(((+$B$185*$B$62)+$B$185)/12,-3)</f>
        <v>343000</v>
      </c>
      <c r="D185" s="50">
        <f t="shared" si="160"/>
        <v>343000</v>
      </c>
      <c r="E185" s="50">
        <f t="shared" si="160"/>
        <v>343000</v>
      </c>
      <c r="F185" s="50">
        <f t="shared" si="160"/>
        <v>343000</v>
      </c>
      <c r="G185" s="50">
        <f t="shared" si="160"/>
        <v>343000</v>
      </c>
      <c r="H185" s="50">
        <f t="shared" si="160"/>
        <v>343000</v>
      </c>
      <c r="I185" s="50">
        <f t="shared" si="160"/>
        <v>343000</v>
      </c>
      <c r="J185" s="50">
        <f t="shared" si="160"/>
        <v>343000</v>
      </c>
      <c r="K185" s="50">
        <f t="shared" si="160"/>
        <v>343000</v>
      </c>
      <c r="L185" s="50">
        <f t="shared" si="160"/>
        <v>343000</v>
      </c>
      <c r="M185" s="50">
        <f t="shared" si="160"/>
        <v>343000</v>
      </c>
      <c r="N185" s="50">
        <f t="shared" si="160"/>
        <v>343000</v>
      </c>
      <c r="O185" s="385">
        <f t="shared" si="148"/>
        <v>4116000</v>
      </c>
      <c r="P185" s="49">
        <f t="shared" si="145"/>
        <v>4.2025316455696203E-2</v>
      </c>
    </row>
    <row r="186" spans="1:16" x14ac:dyDescent="0.35">
      <c r="A186" s="154" t="s">
        <v>27</v>
      </c>
      <c r="B186" s="300">
        <f t="shared" ref="B186:O186" si="161">SUM(B187:B200)</f>
        <v>52122514</v>
      </c>
      <c r="C186" s="50">
        <f t="shared" si="161"/>
        <v>4525000</v>
      </c>
      <c r="D186" s="50">
        <f t="shared" si="161"/>
        <v>4525000</v>
      </c>
      <c r="E186" s="50">
        <f t="shared" si="161"/>
        <v>4525000</v>
      </c>
      <c r="F186" s="50">
        <f t="shared" si="161"/>
        <v>4525000</v>
      </c>
      <c r="G186" s="50">
        <f t="shared" si="161"/>
        <v>4525000</v>
      </c>
      <c r="H186" s="50">
        <f t="shared" si="161"/>
        <v>4525000</v>
      </c>
      <c r="I186" s="50">
        <f t="shared" si="161"/>
        <v>4525000</v>
      </c>
      <c r="J186" s="50">
        <f t="shared" si="161"/>
        <v>4525000</v>
      </c>
      <c r="K186" s="50">
        <f t="shared" si="161"/>
        <v>4525000</v>
      </c>
      <c r="L186" s="50">
        <f t="shared" si="161"/>
        <v>4525000</v>
      </c>
      <c r="M186" s="50">
        <f t="shared" si="161"/>
        <v>4525000</v>
      </c>
      <c r="N186" s="50">
        <f t="shared" si="161"/>
        <v>4525000</v>
      </c>
      <c r="O186" s="387">
        <f t="shared" si="161"/>
        <v>54300000</v>
      </c>
      <c r="P186" s="49">
        <f t="shared" si="145"/>
        <v>4.1776304189778721E-2</v>
      </c>
    </row>
    <row r="187" spans="1:16" x14ac:dyDescent="0.35">
      <c r="A187" s="154" t="s">
        <v>372</v>
      </c>
      <c r="B187" s="294">
        <v>8400000</v>
      </c>
      <c r="C187" s="50">
        <f t="shared" ref="C187:N187" si="162">ROUND(((+$B$187*$B$62)+$B$187)/12,-3)</f>
        <v>729000</v>
      </c>
      <c r="D187" s="50">
        <f t="shared" si="162"/>
        <v>729000</v>
      </c>
      <c r="E187" s="50">
        <f t="shared" si="162"/>
        <v>729000</v>
      </c>
      <c r="F187" s="50">
        <f t="shared" si="162"/>
        <v>729000</v>
      </c>
      <c r="G187" s="50">
        <f t="shared" si="162"/>
        <v>729000</v>
      </c>
      <c r="H187" s="50">
        <f t="shared" si="162"/>
        <v>729000</v>
      </c>
      <c r="I187" s="50">
        <f t="shared" si="162"/>
        <v>729000</v>
      </c>
      <c r="J187" s="50">
        <f t="shared" si="162"/>
        <v>729000</v>
      </c>
      <c r="K187" s="50">
        <f t="shared" si="162"/>
        <v>729000</v>
      </c>
      <c r="L187" s="50">
        <f t="shared" si="162"/>
        <v>729000</v>
      </c>
      <c r="M187" s="50">
        <f t="shared" si="162"/>
        <v>729000</v>
      </c>
      <c r="N187" s="50">
        <f t="shared" si="162"/>
        <v>729000</v>
      </c>
      <c r="O187" s="385">
        <f t="shared" si="148"/>
        <v>8748000</v>
      </c>
      <c r="P187" s="49">
        <f t="shared" si="145"/>
        <v>4.1428571428571426E-2</v>
      </c>
    </row>
    <row r="188" spans="1:16" x14ac:dyDescent="0.35">
      <c r="A188" s="154" t="s">
        <v>680</v>
      </c>
      <c r="B188" s="294">
        <v>1570000</v>
      </c>
      <c r="C188" s="50">
        <f t="shared" ref="C188:N188" si="163">ROUND(((+$B$188*$B$62)+$B$188)/12,-3)</f>
        <v>136000</v>
      </c>
      <c r="D188" s="50">
        <f t="shared" si="163"/>
        <v>136000</v>
      </c>
      <c r="E188" s="50">
        <f t="shared" si="163"/>
        <v>136000</v>
      </c>
      <c r="F188" s="50">
        <f t="shared" si="163"/>
        <v>136000</v>
      </c>
      <c r="G188" s="50">
        <f t="shared" si="163"/>
        <v>136000</v>
      </c>
      <c r="H188" s="50">
        <f t="shared" si="163"/>
        <v>136000</v>
      </c>
      <c r="I188" s="50">
        <f t="shared" si="163"/>
        <v>136000</v>
      </c>
      <c r="J188" s="50">
        <f t="shared" si="163"/>
        <v>136000</v>
      </c>
      <c r="K188" s="50">
        <f t="shared" si="163"/>
        <v>136000</v>
      </c>
      <c r="L188" s="50">
        <f t="shared" si="163"/>
        <v>136000</v>
      </c>
      <c r="M188" s="50">
        <f t="shared" si="163"/>
        <v>136000</v>
      </c>
      <c r="N188" s="50">
        <f t="shared" si="163"/>
        <v>136000</v>
      </c>
      <c r="O188" s="385">
        <f t="shared" si="148"/>
        <v>1632000</v>
      </c>
      <c r="P188" s="49">
        <f t="shared" si="145"/>
        <v>3.949044585987261E-2</v>
      </c>
    </row>
    <row r="189" spans="1:16" x14ac:dyDescent="0.35">
      <c r="A189" s="154" t="s">
        <v>373</v>
      </c>
      <c r="B189" s="294">
        <v>2600000</v>
      </c>
      <c r="C189" s="50">
        <f t="shared" ref="C189:N189" si="164">ROUND(((+$B$189*$B$62)+$B$189)/12,-3)</f>
        <v>226000</v>
      </c>
      <c r="D189" s="50">
        <f t="shared" si="164"/>
        <v>226000</v>
      </c>
      <c r="E189" s="50">
        <f t="shared" si="164"/>
        <v>226000</v>
      </c>
      <c r="F189" s="50">
        <f t="shared" si="164"/>
        <v>226000</v>
      </c>
      <c r="G189" s="50">
        <f t="shared" si="164"/>
        <v>226000</v>
      </c>
      <c r="H189" s="50">
        <f t="shared" si="164"/>
        <v>226000</v>
      </c>
      <c r="I189" s="50">
        <f t="shared" si="164"/>
        <v>226000</v>
      </c>
      <c r="J189" s="50">
        <f t="shared" si="164"/>
        <v>226000</v>
      </c>
      <c r="K189" s="50">
        <f t="shared" si="164"/>
        <v>226000</v>
      </c>
      <c r="L189" s="50">
        <f t="shared" si="164"/>
        <v>226000</v>
      </c>
      <c r="M189" s="50">
        <f t="shared" si="164"/>
        <v>226000</v>
      </c>
      <c r="N189" s="50">
        <f t="shared" si="164"/>
        <v>226000</v>
      </c>
      <c r="O189" s="385">
        <f t="shared" si="148"/>
        <v>2712000</v>
      </c>
      <c r="P189" s="49">
        <f t="shared" si="145"/>
        <v>4.3076923076923075E-2</v>
      </c>
    </row>
    <row r="190" spans="1:16" x14ac:dyDescent="0.35">
      <c r="A190" s="154" t="s">
        <v>685</v>
      </c>
      <c r="B190" s="294">
        <v>1700000</v>
      </c>
      <c r="C190" s="50">
        <f t="shared" ref="C190:N190" si="165">ROUND(((+$B$190*$B$62)+$B$190)/12,-3)</f>
        <v>148000</v>
      </c>
      <c r="D190" s="50">
        <f t="shared" si="165"/>
        <v>148000</v>
      </c>
      <c r="E190" s="50">
        <f t="shared" si="165"/>
        <v>148000</v>
      </c>
      <c r="F190" s="50">
        <f t="shared" si="165"/>
        <v>148000</v>
      </c>
      <c r="G190" s="50">
        <f t="shared" si="165"/>
        <v>148000</v>
      </c>
      <c r="H190" s="50">
        <f t="shared" si="165"/>
        <v>148000</v>
      </c>
      <c r="I190" s="50">
        <f t="shared" si="165"/>
        <v>148000</v>
      </c>
      <c r="J190" s="50">
        <f t="shared" si="165"/>
        <v>148000</v>
      </c>
      <c r="K190" s="50">
        <f t="shared" si="165"/>
        <v>148000</v>
      </c>
      <c r="L190" s="50">
        <f t="shared" si="165"/>
        <v>148000</v>
      </c>
      <c r="M190" s="50">
        <f t="shared" si="165"/>
        <v>148000</v>
      </c>
      <c r="N190" s="50">
        <f t="shared" si="165"/>
        <v>148000</v>
      </c>
      <c r="O190" s="385">
        <f t="shared" si="148"/>
        <v>1776000</v>
      </c>
      <c r="P190" s="49">
        <f t="shared" si="145"/>
        <v>4.4705882352941179E-2</v>
      </c>
    </row>
    <row r="191" spans="1:16" x14ac:dyDescent="0.35">
      <c r="A191" s="154" t="s">
        <v>682</v>
      </c>
      <c r="B191" s="294">
        <v>440000</v>
      </c>
      <c r="C191" s="50">
        <f t="shared" ref="C191:N191" si="166">ROUND(((+$B$191*$B$62)+$B$191)/12,-3)</f>
        <v>38000</v>
      </c>
      <c r="D191" s="50">
        <f t="shared" si="166"/>
        <v>38000</v>
      </c>
      <c r="E191" s="50">
        <f t="shared" si="166"/>
        <v>38000</v>
      </c>
      <c r="F191" s="50">
        <f t="shared" si="166"/>
        <v>38000</v>
      </c>
      <c r="G191" s="50">
        <f t="shared" si="166"/>
        <v>38000</v>
      </c>
      <c r="H191" s="50">
        <f t="shared" si="166"/>
        <v>38000</v>
      </c>
      <c r="I191" s="50">
        <f t="shared" si="166"/>
        <v>38000</v>
      </c>
      <c r="J191" s="50">
        <f t="shared" si="166"/>
        <v>38000</v>
      </c>
      <c r="K191" s="50">
        <f t="shared" si="166"/>
        <v>38000</v>
      </c>
      <c r="L191" s="50">
        <f t="shared" si="166"/>
        <v>38000</v>
      </c>
      <c r="M191" s="50">
        <f t="shared" si="166"/>
        <v>38000</v>
      </c>
      <c r="N191" s="50">
        <f t="shared" si="166"/>
        <v>38000</v>
      </c>
      <c r="O191" s="385">
        <f t="shared" si="148"/>
        <v>456000</v>
      </c>
      <c r="P191" s="49">
        <f t="shared" si="145"/>
        <v>3.6363636363636362E-2</v>
      </c>
    </row>
    <row r="192" spans="1:16" x14ac:dyDescent="0.35">
      <c r="A192" s="154" t="s">
        <v>683</v>
      </c>
      <c r="B192" s="294">
        <v>1080000</v>
      </c>
      <c r="C192" s="50">
        <f t="shared" ref="C192:N192" si="167">ROUND(((+$B$192*$B$62)+$B$192)/12,-3)</f>
        <v>94000</v>
      </c>
      <c r="D192" s="50">
        <f t="shared" si="167"/>
        <v>94000</v>
      </c>
      <c r="E192" s="50">
        <f t="shared" si="167"/>
        <v>94000</v>
      </c>
      <c r="F192" s="50">
        <f t="shared" si="167"/>
        <v>94000</v>
      </c>
      <c r="G192" s="50">
        <f t="shared" si="167"/>
        <v>94000</v>
      </c>
      <c r="H192" s="50">
        <f t="shared" si="167"/>
        <v>94000</v>
      </c>
      <c r="I192" s="50">
        <f t="shared" si="167"/>
        <v>94000</v>
      </c>
      <c r="J192" s="50">
        <f t="shared" si="167"/>
        <v>94000</v>
      </c>
      <c r="K192" s="50">
        <f t="shared" si="167"/>
        <v>94000</v>
      </c>
      <c r="L192" s="50">
        <f t="shared" si="167"/>
        <v>94000</v>
      </c>
      <c r="M192" s="50">
        <f t="shared" si="167"/>
        <v>94000</v>
      </c>
      <c r="N192" s="50">
        <f t="shared" si="167"/>
        <v>94000</v>
      </c>
      <c r="O192" s="385">
        <f t="shared" si="148"/>
        <v>1128000</v>
      </c>
      <c r="P192" s="49"/>
    </row>
    <row r="193" spans="1:16" x14ac:dyDescent="0.35">
      <c r="A193" s="154" t="s">
        <v>43</v>
      </c>
      <c r="B193" s="294">
        <v>638000</v>
      </c>
      <c r="C193" s="50">
        <f t="shared" ref="C193:N193" si="168">ROUND(((+$B$193*$B$62)+$B$193)/12,-3)</f>
        <v>55000</v>
      </c>
      <c r="D193" s="50">
        <f t="shared" si="168"/>
        <v>55000</v>
      </c>
      <c r="E193" s="50">
        <f t="shared" si="168"/>
        <v>55000</v>
      </c>
      <c r="F193" s="50">
        <f t="shared" si="168"/>
        <v>55000</v>
      </c>
      <c r="G193" s="50">
        <f t="shared" si="168"/>
        <v>55000</v>
      </c>
      <c r="H193" s="50">
        <f t="shared" si="168"/>
        <v>55000</v>
      </c>
      <c r="I193" s="50">
        <f t="shared" si="168"/>
        <v>55000</v>
      </c>
      <c r="J193" s="50">
        <f t="shared" si="168"/>
        <v>55000</v>
      </c>
      <c r="K193" s="50">
        <f t="shared" si="168"/>
        <v>55000</v>
      </c>
      <c r="L193" s="50">
        <f t="shared" si="168"/>
        <v>55000</v>
      </c>
      <c r="M193" s="50">
        <f t="shared" si="168"/>
        <v>55000</v>
      </c>
      <c r="N193" s="50">
        <f t="shared" si="168"/>
        <v>55000</v>
      </c>
      <c r="O193" s="385">
        <f t="shared" si="148"/>
        <v>660000</v>
      </c>
      <c r="P193" s="49">
        <f t="shared" si="145"/>
        <v>3.4482758620689655E-2</v>
      </c>
    </row>
    <row r="194" spans="1:16" x14ac:dyDescent="0.35">
      <c r="A194" s="154" t="s">
        <v>42</v>
      </c>
      <c r="B194" s="294">
        <v>640000</v>
      </c>
      <c r="C194" s="50">
        <f t="shared" ref="C194:N194" si="169">ROUND(((+$B$194*$B$62)+$B$194)/12,-3)</f>
        <v>56000</v>
      </c>
      <c r="D194" s="50">
        <f t="shared" si="169"/>
        <v>56000</v>
      </c>
      <c r="E194" s="50">
        <f t="shared" si="169"/>
        <v>56000</v>
      </c>
      <c r="F194" s="50">
        <f t="shared" si="169"/>
        <v>56000</v>
      </c>
      <c r="G194" s="50">
        <f t="shared" si="169"/>
        <v>56000</v>
      </c>
      <c r="H194" s="50">
        <f t="shared" si="169"/>
        <v>56000</v>
      </c>
      <c r="I194" s="50">
        <f t="shared" si="169"/>
        <v>56000</v>
      </c>
      <c r="J194" s="50">
        <f t="shared" si="169"/>
        <v>56000</v>
      </c>
      <c r="K194" s="50">
        <f t="shared" si="169"/>
        <v>56000</v>
      </c>
      <c r="L194" s="50">
        <f t="shared" si="169"/>
        <v>56000</v>
      </c>
      <c r="M194" s="50">
        <f t="shared" si="169"/>
        <v>56000</v>
      </c>
      <c r="N194" s="50">
        <f t="shared" si="169"/>
        <v>56000</v>
      </c>
      <c r="O194" s="385">
        <f t="shared" si="148"/>
        <v>672000</v>
      </c>
      <c r="P194" s="49">
        <f t="shared" si="145"/>
        <v>0.05</v>
      </c>
    </row>
    <row r="195" spans="1:16" x14ac:dyDescent="0.35">
      <c r="A195" s="154" t="s">
        <v>44</v>
      </c>
      <c r="B195" s="294">
        <v>1950000</v>
      </c>
      <c r="C195" s="50">
        <f t="shared" ref="C195:N195" si="170">ROUND(((+$B$195*$B$62)+$B$195)/12,-3)</f>
        <v>169000</v>
      </c>
      <c r="D195" s="50">
        <f t="shared" si="170"/>
        <v>169000</v>
      </c>
      <c r="E195" s="50">
        <f t="shared" si="170"/>
        <v>169000</v>
      </c>
      <c r="F195" s="50">
        <f t="shared" si="170"/>
        <v>169000</v>
      </c>
      <c r="G195" s="50">
        <f t="shared" si="170"/>
        <v>169000</v>
      </c>
      <c r="H195" s="50">
        <f t="shared" si="170"/>
        <v>169000</v>
      </c>
      <c r="I195" s="50">
        <f t="shared" si="170"/>
        <v>169000</v>
      </c>
      <c r="J195" s="50">
        <f t="shared" si="170"/>
        <v>169000</v>
      </c>
      <c r="K195" s="50">
        <f t="shared" si="170"/>
        <v>169000</v>
      </c>
      <c r="L195" s="50">
        <f t="shared" si="170"/>
        <v>169000</v>
      </c>
      <c r="M195" s="50">
        <f t="shared" si="170"/>
        <v>169000</v>
      </c>
      <c r="N195" s="50">
        <f t="shared" si="170"/>
        <v>169000</v>
      </c>
      <c r="O195" s="385">
        <f t="shared" si="148"/>
        <v>2028000</v>
      </c>
      <c r="P195" s="49">
        <f t="shared" si="145"/>
        <v>0.04</v>
      </c>
    </row>
    <row r="196" spans="1:16" x14ac:dyDescent="0.35">
      <c r="A196" s="154" t="s">
        <v>374</v>
      </c>
      <c r="B196" s="294">
        <v>1100914</v>
      </c>
      <c r="C196" s="50">
        <f t="shared" ref="C196:N196" si="171">ROUND(((+$B$196*$B$62)+$B$196)/12,-3)</f>
        <v>96000</v>
      </c>
      <c r="D196" s="50">
        <f t="shared" si="171"/>
        <v>96000</v>
      </c>
      <c r="E196" s="50">
        <f t="shared" si="171"/>
        <v>96000</v>
      </c>
      <c r="F196" s="50">
        <f t="shared" si="171"/>
        <v>96000</v>
      </c>
      <c r="G196" s="50">
        <f t="shared" si="171"/>
        <v>96000</v>
      </c>
      <c r="H196" s="50">
        <f t="shared" si="171"/>
        <v>96000</v>
      </c>
      <c r="I196" s="50">
        <f t="shared" si="171"/>
        <v>96000</v>
      </c>
      <c r="J196" s="50">
        <f t="shared" si="171"/>
        <v>96000</v>
      </c>
      <c r="K196" s="50">
        <f t="shared" si="171"/>
        <v>96000</v>
      </c>
      <c r="L196" s="50">
        <f t="shared" si="171"/>
        <v>96000</v>
      </c>
      <c r="M196" s="50">
        <f t="shared" si="171"/>
        <v>96000</v>
      </c>
      <c r="N196" s="50">
        <f t="shared" si="171"/>
        <v>96000</v>
      </c>
      <c r="O196" s="385">
        <f t="shared" si="148"/>
        <v>1152000</v>
      </c>
      <c r="P196" s="49">
        <f t="shared" si="145"/>
        <v>4.6403261290164352E-2</v>
      </c>
    </row>
    <row r="197" spans="1:16" x14ac:dyDescent="0.35">
      <c r="A197" s="154" t="s">
        <v>681</v>
      </c>
      <c r="B197" s="294">
        <v>24730000</v>
      </c>
      <c r="C197" s="50">
        <f t="shared" ref="C197:N197" si="172">ROUND(((+$B$197*$B$62)+$B$197)/12,-3)</f>
        <v>2147000</v>
      </c>
      <c r="D197" s="50">
        <f t="shared" si="172"/>
        <v>2147000</v>
      </c>
      <c r="E197" s="50">
        <f t="shared" si="172"/>
        <v>2147000</v>
      </c>
      <c r="F197" s="50">
        <f t="shared" si="172"/>
        <v>2147000</v>
      </c>
      <c r="G197" s="50">
        <f t="shared" si="172"/>
        <v>2147000</v>
      </c>
      <c r="H197" s="50">
        <f t="shared" si="172"/>
        <v>2147000</v>
      </c>
      <c r="I197" s="50">
        <f t="shared" si="172"/>
        <v>2147000</v>
      </c>
      <c r="J197" s="50">
        <f t="shared" si="172"/>
        <v>2147000</v>
      </c>
      <c r="K197" s="50">
        <f t="shared" si="172"/>
        <v>2147000</v>
      </c>
      <c r="L197" s="50">
        <f t="shared" si="172"/>
        <v>2147000</v>
      </c>
      <c r="M197" s="50">
        <f t="shared" si="172"/>
        <v>2147000</v>
      </c>
      <c r="N197" s="50">
        <f t="shared" si="172"/>
        <v>2147000</v>
      </c>
      <c r="O197" s="385">
        <f t="shared" si="148"/>
        <v>25764000</v>
      </c>
      <c r="P197" s="49">
        <f t="shared" si="145"/>
        <v>4.1811564900930041E-2</v>
      </c>
    </row>
    <row r="198" spans="1:16" x14ac:dyDescent="0.35">
      <c r="A198" s="154" t="s">
        <v>429</v>
      </c>
      <c r="B198" s="294">
        <v>1833600</v>
      </c>
      <c r="C198" s="50">
        <f t="shared" ref="C198:N198" si="173">ROUND(((+$B$198*$B$62)+$B$198)/12,-3)</f>
        <v>159000</v>
      </c>
      <c r="D198" s="50">
        <f t="shared" si="173"/>
        <v>159000</v>
      </c>
      <c r="E198" s="50">
        <f t="shared" si="173"/>
        <v>159000</v>
      </c>
      <c r="F198" s="50">
        <f t="shared" si="173"/>
        <v>159000</v>
      </c>
      <c r="G198" s="50">
        <f t="shared" si="173"/>
        <v>159000</v>
      </c>
      <c r="H198" s="50">
        <f t="shared" si="173"/>
        <v>159000</v>
      </c>
      <c r="I198" s="50">
        <f t="shared" si="173"/>
        <v>159000</v>
      </c>
      <c r="J198" s="50">
        <f t="shared" si="173"/>
        <v>159000</v>
      </c>
      <c r="K198" s="50">
        <f t="shared" si="173"/>
        <v>159000</v>
      </c>
      <c r="L198" s="50">
        <f t="shared" si="173"/>
        <v>159000</v>
      </c>
      <c r="M198" s="50">
        <f t="shared" si="173"/>
        <v>159000</v>
      </c>
      <c r="N198" s="50">
        <f t="shared" si="173"/>
        <v>159000</v>
      </c>
      <c r="O198" s="385">
        <f t="shared" si="148"/>
        <v>1908000</v>
      </c>
      <c r="P198" s="49">
        <f t="shared" si="145"/>
        <v>4.0575916230366493E-2</v>
      </c>
    </row>
    <row r="199" spans="1:16" x14ac:dyDescent="0.35">
      <c r="A199" s="154" t="s">
        <v>684</v>
      </c>
      <c r="B199" s="294">
        <v>3410000</v>
      </c>
      <c r="C199" s="50">
        <f t="shared" ref="C199:N199" si="174">ROUND(((+$B$199*$B$62)+$B$199)/12,-3)</f>
        <v>296000</v>
      </c>
      <c r="D199" s="50">
        <f t="shared" si="174"/>
        <v>296000</v>
      </c>
      <c r="E199" s="50">
        <f t="shared" si="174"/>
        <v>296000</v>
      </c>
      <c r="F199" s="50">
        <f t="shared" si="174"/>
        <v>296000</v>
      </c>
      <c r="G199" s="50">
        <f t="shared" si="174"/>
        <v>296000</v>
      </c>
      <c r="H199" s="50">
        <f t="shared" si="174"/>
        <v>296000</v>
      </c>
      <c r="I199" s="50">
        <f t="shared" si="174"/>
        <v>296000</v>
      </c>
      <c r="J199" s="50">
        <f t="shared" si="174"/>
        <v>296000</v>
      </c>
      <c r="K199" s="50">
        <f t="shared" si="174"/>
        <v>296000</v>
      </c>
      <c r="L199" s="50">
        <f t="shared" si="174"/>
        <v>296000</v>
      </c>
      <c r="M199" s="50">
        <f t="shared" si="174"/>
        <v>296000</v>
      </c>
      <c r="N199" s="50">
        <f t="shared" si="174"/>
        <v>296000</v>
      </c>
      <c r="O199" s="385">
        <f t="shared" si="148"/>
        <v>3552000</v>
      </c>
      <c r="P199" s="49">
        <f t="shared" si="145"/>
        <v>4.1642228739002932E-2</v>
      </c>
    </row>
    <row r="200" spans="1:16" x14ac:dyDescent="0.35">
      <c r="A200" s="154" t="s">
        <v>428</v>
      </c>
      <c r="B200" s="294">
        <v>2030000</v>
      </c>
      <c r="C200" s="50">
        <f t="shared" ref="C200:N200" si="175">ROUND(((+$B$200*$B$62)+$B$200)/12,-3)</f>
        <v>176000</v>
      </c>
      <c r="D200" s="50">
        <f t="shared" si="175"/>
        <v>176000</v>
      </c>
      <c r="E200" s="50">
        <f t="shared" si="175"/>
        <v>176000</v>
      </c>
      <c r="F200" s="50">
        <f t="shared" si="175"/>
        <v>176000</v>
      </c>
      <c r="G200" s="50">
        <f t="shared" si="175"/>
        <v>176000</v>
      </c>
      <c r="H200" s="50">
        <f t="shared" si="175"/>
        <v>176000</v>
      </c>
      <c r="I200" s="50">
        <f t="shared" si="175"/>
        <v>176000</v>
      </c>
      <c r="J200" s="50">
        <f t="shared" si="175"/>
        <v>176000</v>
      </c>
      <c r="K200" s="50">
        <f t="shared" si="175"/>
        <v>176000</v>
      </c>
      <c r="L200" s="50">
        <f t="shared" si="175"/>
        <v>176000</v>
      </c>
      <c r="M200" s="50">
        <f t="shared" si="175"/>
        <v>176000</v>
      </c>
      <c r="N200" s="50">
        <f t="shared" si="175"/>
        <v>176000</v>
      </c>
      <c r="O200" s="385">
        <f t="shared" si="148"/>
        <v>2112000</v>
      </c>
      <c r="P200" s="49">
        <f t="shared" si="145"/>
        <v>4.0394088669950742E-2</v>
      </c>
    </row>
    <row r="201" spans="1:16" x14ac:dyDescent="0.35">
      <c r="A201" s="154" t="s">
        <v>28</v>
      </c>
      <c r="B201" s="300">
        <f t="shared" ref="B201:O201" si="176">SUM(B202:B206)</f>
        <v>11523000</v>
      </c>
      <c r="C201" s="50">
        <f t="shared" si="176"/>
        <v>2035000</v>
      </c>
      <c r="D201" s="50">
        <f t="shared" si="176"/>
        <v>2035000</v>
      </c>
      <c r="E201" s="50">
        <f t="shared" si="176"/>
        <v>2035000</v>
      </c>
      <c r="F201" s="50">
        <f t="shared" si="176"/>
        <v>2035000</v>
      </c>
      <c r="G201" s="50">
        <f t="shared" si="176"/>
        <v>568000</v>
      </c>
      <c r="H201" s="50">
        <f t="shared" si="176"/>
        <v>468000</v>
      </c>
      <c r="I201" s="50">
        <f t="shared" si="176"/>
        <v>468000</v>
      </c>
      <c r="J201" s="50">
        <f t="shared" si="176"/>
        <v>718000</v>
      </c>
      <c r="K201" s="50">
        <f t="shared" si="176"/>
        <v>668000</v>
      </c>
      <c r="L201" s="50">
        <f t="shared" si="176"/>
        <v>568000</v>
      </c>
      <c r="M201" s="50">
        <f t="shared" si="176"/>
        <v>468000</v>
      </c>
      <c r="N201" s="50">
        <f t="shared" si="176"/>
        <v>468000</v>
      </c>
      <c r="O201" s="387">
        <f t="shared" si="176"/>
        <v>12534000</v>
      </c>
      <c r="P201" s="49">
        <f t="shared" ref="P201:P276" si="177">+(O201-B201)/B201</f>
        <v>8.7737568341577712E-2</v>
      </c>
    </row>
    <row r="202" spans="1:16" x14ac:dyDescent="0.35">
      <c r="A202" s="154" t="s">
        <v>45</v>
      </c>
      <c r="B202" s="294">
        <v>200000</v>
      </c>
      <c r="C202" s="50">
        <f t="shared" ref="C202:N202" si="178">ROUND(((+$B$202*$B$62)+$B$202)/12,-3)</f>
        <v>17000</v>
      </c>
      <c r="D202" s="50">
        <f t="shared" si="178"/>
        <v>17000</v>
      </c>
      <c r="E202" s="50">
        <f t="shared" si="178"/>
        <v>17000</v>
      </c>
      <c r="F202" s="50">
        <f t="shared" si="178"/>
        <v>17000</v>
      </c>
      <c r="G202" s="50">
        <f t="shared" si="178"/>
        <v>17000</v>
      </c>
      <c r="H202" s="50">
        <f t="shared" si="178"/>
        <v>17000</v>
      </c>
      <c r="I202" s="50">
        <f t="shared" si="178"/>
        <v>17000</v>
      </c>
      <c r="J202" s="50">
        <f t="shared" si="178"/>
        <v>17000</v>
      </c>
      <c r="K202" s="50">
        <f t="shared" si="178"/>
        <v>17000</v>
      </c>
      <c r="L202" s="50">
        <f t="shared" si="178"/>
        <v>17000</v>
      </c>
      <c r="M202" s="50">
        <f t="shared" si="178"/>
        <v>17000</v>
      </c>
      <c r="N202" s="50">
        <f t="shared" si="178"/>
        <v>17000</v>
      </c>
      <c r="O202" s="385">
        <f t="shared" si="148"/>
        <v>204000</v>
      </c>
      <c r="P202" s="49">
        <f t="shared" si="177"/>
        <v>0.02</v>
      </c>
    </row>
    <row r="203" spans="1:16" x14ac:dyDescent="0.35">
      <c r="A203" s="154" t="s">
        <v>46</v>
      </c>
      <c r="B203" s="294">
        <v>5190000</v>
      </c>
      <c r="C203" s="50">
        <f t="shared" ref="C203:N203" si="179">ROUND(((+$B$203*$B$62)+$B$203)/12,-3)</f>
        <v>451000</v>
      </c>
      <c r="D203" s="50">
        <f t="shared" si="179"/>
        <v>451000</v>
      </c>
      <c r="E203" s="50">
        <f t="shared" si="179"/>
        <v>451000</v>
      </c>
      <c r="F203" s="50">
        <f t="shared" si="179"/>
        <v>451000</v>
      </c>
      <c r="G203" s="50">
        <f t="shared" si="179"/>
        <v>451000</v>
      </c>
      <c r="H203" s="50">
        <f t="shared" si="179"/>
        <v>451000</v>
      </c>
      <c r="I203" s="50">
        <f t="shared" si="179"/>
        <v>451000</v>
      </c>
      <c r="J203" s="50">
        <f t="shared" si="179"/>
        <v>451000</v>
      </c>
      <c r="K203" s="50">
        <f t="shared" si="179"/>
        <v>451000</v>
      </c>
      <c r="L203" s="50">
        <f t="shared" si="179"/>
        <v>451000</v>
      </c>
      <c r="M203" s="50">
        <f t="shared" si="179"/>
        <v>451000</v>
      </c>
      <c r="N203" s="50">
        <f t="shared" si="179"/>
        <v>451000</v>
      </c>
      <c r="O203" s="385">
        <f t="shared" si="148"/>
        <v>5412000</v>
      </c>
      <c r="P203" s="49">
        <f t="shared" si="177"/>
        <v>4.2774566473988439E-2</v>
      </c>
    </row>
    <row r="204" spans="1:16" x14ac:dyDescent="0.35">
      <c r="A204" s="154" t="s">
        <v>219</v>
      </c>
      <c r="B204" s="294">
        <f>4615000+1400000</f>
        <v>6015000</v>
      </c>
      <c r="C204" s="50">
        <f>ROUND(((+$B$204*$B$62)+$B$204)/4,-3)</f>
        <v>1567000</v>
      </c>
      <c r="D204" s="50">
        <f>ROUND(((+$B$204*$B$62)+$B$204)/4,-3)</f>
        <v>1567000</v>
      </c>
      <c r="E204" s="50">
        <f>ROUND(((+$B$204*$B$62)+$B$204)/4,-3)</f>
        <v>1567000</v>
      </c>
      <c r="F204" s="50">
        <f>ROUND(((+$B$204*$B$62)+$B$204)/4,-3)</f>
        <v>1567000</v>
      </c>
      <c r="G204" s="50"/>
      <c r="H204" s="50"/>
      <c r="I204" s="50">
        <v>0</v>
      </c>
      <c r="J204" s="50"/>
      <c r="K204" s="50"/>
      <c r="L204" s="50"/>
      <c r="M204" s="50"/>
      <c r="N204" s="50"/>
      <c r="O204" s="385">
        <f t="shared" si="148"/>
        <v>6268000</v>
      </c>
      <c r="P204" s="49">
        <f t="shared" si="177"/>
        <v>4.2061512884455525E-2</v>
      </c>
    </row>
    <row r="205" spans="1:16" x14ac:dyDescent="0.35">
      <c r="A205" s="154" t="s">
        <v>788</v>
      </c>
      <c r="B205" s="294">
        <v>0</v>
      </c>
      <c r="C205" s="50"/>
      <c r="D205" s="50"/>
      <c r="E205" s="50"/>
      <c r="F205" s="50"/>
      <c r="G205" s="50">
        <v>100000</v>
      </c>
      <c r="H205" s="50">
        <v>0</v>
      </c>
      <c r="I205" s="50">
        <v>0</v>
      </c>
      <c r="J205" s="50">
        <v>0</v>
      </c>
      <c r="K205" s="50">
        <v>100000</v>
      </c>
      <c r="L205" s="50"/>
      <c r="M205" s="50"/>
      <c r="N205" s="50"/>
      <c r="O205" s="385">
        <f t="shared" si="148"/>
        <v>200000</v>
      </c>
      <c r="P205" s="49">
        <v>1</v>
      </c>
    </row>
    <row r="206" spans="1:16" x14ac:dyDescent="0.35">
      <c r="A206" s="248" t="s">
        <v>275</v>
      </c>
      <c r="B206" s="294">
        <v>118000</v>
      </c>
      <c r="C206" s="50"/>
      <c r="D206" s="50"/>
      <c r="E206" s="50"/>
      <c r="F206" s="50"/>
      <c r="G206" s="50"/>
      <c r="H206" s="50"/>
      <c r="I206" s="50"/>
      <c r="J206" s="50">
        <v>250000</v>
      </c>
      <c r="K206" s="50">
        <v>100000</v>
      </c>
      <c r="L206" s="50">
        <v>100000</v>
      </c>
      <c r="M206" s="50"/>
      <c r="N206" s="50"/>
      <c r="O206" s="385">
        <f t="shared" si="148"/>
        <v>450000</v>
      </c>
      <c r="P206" s="49">
        <f t="shared" si="177"/>
        <v>2.8135593220338984</v>
      </c>
    </row>
    <row r="207" spans="1:16" x14ac:dyDescent="0.35">
      <c r="A207" s="154" t="s">
        <v>759</v>
      </c>
      <c r="B207" s="294">
        <f>+B208</f>
        <v>0</v>
      </c>
      <c r="C207" s="50">
        <f>+C208</f>
        <v>32000</v>
      </c>
      <c r="D207" s="50">
        <f t="shared" ref="D207:N207" si="180">+D208</f>
        <v>32000</v>
      </c>
      <c r="E207" s="50">
        <f t="shared" si="180"/>
        <v>0</v>
      </c>
      <c r="F207" s="50">
        <f t="shared" si="180"/>
        <v>32000</v>
      </c>
      <c r="G207" s="50">
        <f t="shared" si="180"/>
        <v>192000</v>
      </c>
      <c r="H207" s="50">
        <f t="shared" si="180"/>
        <v>32000</v>
      </c>
      <c r="I207" s="50">
        <f t="shared" si="180"/>
        <v>0</v>
      </c>
      <c r="J207" s="50">
        <f t="shared" si="180"/>
        <v>32000</v>
      </c>
      <c r="K207" s="50">
        <f t="shared" si="180"/>
        <v>160000</v>
      </c>
      <c r="L207" s="50">
        <f t="shared" si="180"/>
        <v>32000</v>
      </c>
      <c r="M207" s="50">
        <f t="shared" si="180"/>
        <v>0</v>
      </c>
      <c r="N207" s="50">
        <f t="shared" si="180"/>
        <v>0</v>
      </c>
      <c r="O207" s="387">
        <f t="shared" si="148"/>
        <v>544000</v>
      </c>
      <c r="P207" s="49">
        <v>1</v>
      </c>
    </row>
    <row r="208" spans="1:16" x14ac:dyDescent="0.35">
      <c r="A208" s="154" t="s">
        <v>760</v>
      </c>
      <c r="B208" s="294">
        <v>0</v>
      </c>
      <c r="C208" s="50">
        <v>32000</v>
      </c>
      <c r="D208" s="50">
        <v>32000</v>
      </c>
      <c r="E208" s="50">
        <v>0</v>
      </c>
      <c r="F208" s="50">
        <v>32000</v>
      </c>
      <c r="G208" s="50">
        <f>32000+160000</f>
        <v>192000</v>
      </c>
      <c r="H208" s="50">
        <v>32000</v>
      </c>
      <c r="I208" s="50">
        <v>0</v>
      </c>
      <c r="J208" s="50">
        <v>32000</v>
      </c>
      <c r="K208" s="50">
        <v>160000</v>
      </c>
      <c r="L208" s="50">
        <v>32000</v>
      </c>
      <c r="M208" s="50">
        <v>0</v>
      </c>
      <c r="N208" s="50">
        <v>0</v>
      </c>
      <c r="O208" s="385">
        <f t="shared" si="148"/>
        <v>544000</v>
      </c>
      <c r="P208" s="49">
        <v>1</v>
      </c>
    </row>
    <row r="209" spans="1:16" x14ac:dyDescent="0.35">
      <c r="A209" s="154" t="s">
        <v>268</v>
      </c>
      <c r="B209" s="300">
        <f t="shared" ref="B209:O209" si="181">SUM(B210:B231)</f>
        <v>42707000</v>
      </c>
      <c r="C209" s="50">
        <f t="shared" si="181"/>
        <v>28563000</v>
      </c>
      <c r="D209" s="50">
        <f t="shared" si="181"/>
        <v>1511000</v>
      </c>
      <c r="E209" s="50">
        <f t="shared" si="181"/>
        <v>2696000</v>
      </c>
      <c r="F209" s="50">
        <f t="shared" si="181"/>
        <v>786000</v>
      </c>
      <c r="G209" s="50">
        <f t="shared" si="181"/>
        <v>400000</v>
      </c>
      <c r="H209" s="50">
        <f t="shared" si="181"/>
        <v>180000</v>
      </c>
      <c r="I209" s="50">
        <f t="shared" si="181"/>
        <v>586000</v>
      </c>
      <c r="J209" s="50">
        <f t="shared" si="181"/>
        <v>1396000</v>
      </c>
      <c r="K209" s="50">
        <f t="shared" si="181"/>
        <v>200000</v>
      </c>
      <c r="L209" s="50">
        <f t="shared" si="181"/>
        <v>586000</v>
      </c>
      <c r="M209" s="50">
        <f t="shared" si="181"/>
        <v>0</v>
      </c>
      <c r="N209" s="50">
        <f t="shared" si="181"/>
        <v>7440000</v>
      </c>
      <c r="O209" s="387">
        <f t="shared" si="181"/>
        <v>44344000</v>
      </c>
      <c r="P209" s="49">
        <f t="shared" si="177"/>
        <v>3.8330952771208467E-2</v>
      </c>
    </row>
    <row r="210" spans="1:16" x14ac:dyDescent="0.35">
      <c r="A210" s="154" t="s">
        <v>269</v>
      </c>
      <c r="B210" s="294">
        <v>0</v>
      </c>
      <c r="C210" s="50">
        <v>500000</v>
      </c>
      <c r="D210" s="58"/>
      <c r="E210" s="50"/>
      <c r="F210" s="58"/>
      <c r="G210" s="58"/>
      <c r="H210" s="58">
        <v>0</v>
      </c>
      <c r="I210" s="58"/>
      <c r="J210" s="50"/>
      <c r="K210" s="58"/>
      <c r="L210" s="58"/>
      <c r="M210" s="58"/>
      <c r="N210" s="58"/>
      <c r="O210" s="385">
        <f t="shared" si="148"/>
        <v>500000</v>
      </c>
      <c r="P210" s="49">
        <v>1</v>
      </c>
    </row>
    <row r="211" spans="1:16" x14ac:dyDescent="0.35">
      <c r="A211" s="154" t="s">
        <v>431</v>
      </c>
      <c r="B211" s="294">
        <v>2250000</v>
      </c>
      <c r="C211" s="50">
        <v>0</v>
      </c>
      <c r="D211" s="50">
        <f>ROUND(((+$B$211*$B$62)+$B$211)/4,-3)</f>
        <v>586000</v>
      </c>
      <c r="E211" s="50"/>
      <c r="F211" s="50">
        <f>ROUND(((+$B$211*$B$62)+$B$211)/4,-3)</f>
        <v>586000</v>
      </c>
      <c r="G211" s="58"/>
      <c r="H211" s="58"/>
      <c r="I211" s="50">
        <f>ROUND(((+$B$211*$B$62)+$B$211)/4,-3)</f>
        <v>586000</v>
      </c>
      <c r="J211" s="50"/>
      <c r="K211" s="58"/>
      <c r="L211" s="50">
        <f>ROUND(((+$B$211*$B$62)+$B$211)/4,-3)</f>
        <v>586000</v>
      </c>
      <c r="M211" s="58"/>
      <c r="N211" s="58"/>
      <c r="O211" s="385">
        <f t="shared" si="148"/>
        <v>2344000</v>
      </c>
      <c r="P211" s="49">
        <f t="shared" si="177"/>
        <v>4.1777777777777775E-2</v>
      </c>
    </row>
    <row r="212" spans="1:16" x14ac:dyDescent="0.35">
      <c r="A212" s="254" t="s">
        <v>430</v>
      </c>
      <c r="B212" s="294">
        <v>2900000</v>
      </c>
      <c r="C212" s="50">
        <f>ROUND(((+$B$212*$B$62)+$B$212),-3)</f>
        <v>3022000</v>
      </c>
      <c r="D212" s="70">
        <v>0</v>
      </c>
      <c r="E212" s="70">
        <v>0</v>
      </c>
      <c r="F212" s="70">
        <v>0</v>
      </c>
      <c r="G212" s="70">
        <v>0</v>
      </c>
      <c r="H212" s="70">
        <v>0</v>
      </c>
      <c r="I212" s="50">
        <v>0</v>
      </c>
      <c r="J212" s="70">
        <v>0</v>
      </c>
      <c r="K212" s="70">
        <v>0</v>
      </c>
      <c r="L212" s="70">
        <v>0</v>
      </c>
      <c r="M212" s="70">
        <v>0</v>
      </c>
      <c r="N212" s="70">
        <v>0</v>
      </c>
      <c r="O212" s="385">
        <f t="shared" si="148"/>
        <v>3022000</v>
      </c>
      <c r="P212" s="49">
        <f t="shared" si="177"/>
        <v>4.2068965517241382E-2</v>
      </c>
    </row>
    <row r="213" spans="1:16" x14ac:dyDescent="0.35">
      <c r="A213" s="254" t="s">
        <v>711</v>
      </c>
      <c r="B213" s="294">
        <v>165000</v>
      </c>
      <c r="C213" s="50"/>
      <c r="D213" s="70"/>
      <c r="E213" s="70"/>
      <c r="F213" s="70"/>
      <c r="G213" s="70"/>
      <c r="H213" s="70">
        <v>180000</v>
      </c>
      <c r="I213" s="50"/>
      <c r="J213" s="70"/>
      <c r="K213" s="70"/>
      <c r="L213" s="70"/>
      <c r="M213" s="70"/>
      <c r="N213" s="70"/>
      <c r="O213" s="385">
        <f t="shared" ref="O213" si="182">SUM(C213:N213)</f>
        <v>180000</v>
      </c>
      <c r="P213" s="49">
        <f t="shared" ref="P213" si="183">+(O213-B213)/B213</f>
        <v>9.0909090909090912E-2</v>
      </c>
    </row>
    <row r="214" spans="1:16" x14ac:dyDescent="0.35">
      <c r="A214" s="154" t="s">
        <v>434</v>
      </c>
      <c r="B214" s="294">
        <v>3075000</v>
      </c>
      <c r="C214" s="50">
        <v>5700000</v>
      </c>
      <c r="D214" s="5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0</v>
      </c>
      <c r="N214" s="70">
        <v>0</v>
      </c>
      <c r="O214" s="385">
        <f t="shared" si="148"/>
        <v>5700000</v>
      </c>
      <c r="P214" s="49">
        <f t="shared" si="177"/>
        <v>0.85365853658536583</v>
      </c>
    </row>
    <row r="215" spans="1:16" x14ac:dyDescent="0.35">
      <c r="A215" s="154" t="s">
        <v>433</v>
      </c>
      <c r="B215" s="294">
        <v>6620000</v>
      </c>
      <c r="C215" s="50">
        <v>7691000</v>
      </c>
      <c r="D215" s="70"/>
      <c r="E215" s="50">
        <v>0</v>
      </c>
      <c r="F215" s="70"/>
      <c r="G215" s="70"/>
      <c r="H215" s="50">
        <v>0</v>
      </c>
      <c r="I215" s="70"/>
      <c r="J215" s="70"/>
      <c r="K215" s="70"/>
      <c r="L215" s="70"/>
      <c r="M215" s="70"/>
      <c r="N215" s="70"/>
      <c r="O215" s="385">
        <f t="shared" si="148"/>
        <v>7691000</v>
      </c>
      <c r="P215" s="49">
        <f t="shared" si="177"/>
        <v>0.16178247734138973</v>
      </c>
    </row>
    <row r="216" spans="1:16" x14ac:dyDescent="0.35">
      <c r="A216" s="154" t="s">
        <v>489</v>
      </c>
      <c r="B216" s="294">
        <v>7085000</v>
      </c>
      <c r="C216" s="50">
        <v>8250000</v>
      </c>
      <c r="D216" s="70">
        <v>0</v>
      </c>
      <c r="E216" s="70">
        <v>0</v>
      </c>
      <c r="F216" s="70">
        <v>0</v>
      </c>
      <c r="G216" s="50">
        <v>0</v>
      </c>
      <c r="H216" s="70">
        <v>0</v>
      </c>
      <c r="I216" s="70">
        <v>0</v>
      </c>
      <c r="J216" s="70">
        <v>0</v>
      </c>
      <c r="K216" s="70">
        <v>0</v>
      </c>
      <c r="L216" s="70">
        <v>0</v>
      </c>
      <c r="M216" s="70">
        <v>0</v>
      </c>
      <c r="N216" s="70">
        <v>0</v>
      </c>
      <c r="O216" s="385">
        <f t="shared" si="148"/>
        <v>8250000</v>
      </c>
      <c r="P216" s="49">
        <f t="shared" si="177"/>
        <v>0.16443189837685251</v>
      </c>
    </row>
    <row r="217" spans="1:16" x14ac:dyDescent="0.35">
      <c r="A217" s="154" t="s">
        <v>767</v>
      </c>
      <c r="B217" s="294">
        <v>0</v>
      </c>
      <c r="C217" s="50">
        <v>400000</v>
      </c>
      <c r="D217" s="50"/>
      <c r="E217" s="70"/>
      <c r="F217" s="70"/>
      <c r="G217" s="50"/>
      <c r="H217" s="70"/>
      <c r="I217" s="70"/>
      <c r="J217" s="70"/>
      <c r="K217" s="70"/>
      <c r="L217" s="70"/>
      <c r="M217" s="70"/>
      <c r="N217" s="70"/>
      <c r="O217" s="385">
        <f t="shared" si="148"/>
        <v>400000</v>
      </c>
      <c r="P217" s="49">
        <v>1</v>
      </c>
    </row>
    <row r="218" spans="1:16" x14ac:dyDescent="0.35">
      <c r="A218" s="154" t="s">
        <v>480</v>
      </c>
      <c r="B218" s="294">
        <v>1335000</v>
      </c>
      <c r="C218" s="50"/>
      <c r="D218" s="70"/>
      <c r="E218" s="50">
        <f>ROUND(((+$B$218*$B$62)+$B$218)/2,-3)</f>
        <v>696000</v>
      </c>
      <c r="F218" s="70"/>
      <c r="G218" s="50"/>
      <c r="H218" s="70"/>
      <c r="I218" s="70"/>
      <c r="J218" s="50">
        <f>ROUND(((+$B$218*$B$62)+$B$218)/2,-3)</f>
        <v>696000</v>
      </c>
      <c r="K218" s="70"/>
      <c r="L218" s="70"/>
      <c r="M218" s="70"/>
      <c r="N218" s="70"/>
      <c r="O218" s="385">
        <f t="shared" ref="O218:O225" si="184">SUM(C218:N218)</f>
        <v>1392000</v>
      </c>
      <c r="P218" s="49">
        <f t="shared" ref="P218:P219" si="185">+(O218-B218)/B218</f>
        <v>4.2696629213483148E-2</v>
      </c>
    </row>
    <row r="219" spans="1:16" x14ac:dyDescent="0.35">
      <c r="A219" s="154" t="s">
        <v>699</v>
      </c>
      <c r="B219" s="294">
        <v>887000</v>
      </c>
      <c r="C219" s="50"/>
      <c r="D219" s="50">
        <v>925000</v>
      </c>
      <c r="E219" s="70"/>
      <c r="F219" s="70"/>
      <c r="G219" s="50"/>
      <c r="H219" s="70"/>
      <c r="I219" s="70"/>
      <c r="J219" s="70"/>
      <c r="K219" s="70"/>
      <c r="L219" s="70"/>
      <c r="M219" s="70"/>
      <c r="N219" s="70"/>
      <c r="O219" s="385">
        <f t="shared" si="184"/>
        <v>925000</v>
      </c>
      <c r="P219" s="49">
        <f t="shared" si="185"/>
        <v>4.2841037204058623E-2</v>
      </c>
    </row>
    <row r="220" spans="1:16" x14ac:dyDescent="0.35">
      <c r="A220" s="154" t="s">
        <v>785</v>
      </c>
      <c r="B220" s="294">
        <v>0</v>
      </c>
      <c r="C220" s="50"/>
      <c r="D220" s="50"/>
      <c r="E220" s="70"/>
      <c r="F220" s="70"/>
      <c r="G220" s="50">
        <v>200000</v>
      </c>
      <c r="H220" s="70"/>
      <c r="I220" s="70"/>
      <c r="J220" s="70"/>
      <c r="K220" s="70"/>
      <c r="L220" s="70"/>
      <c r="M220" s="70"/>
      <c r="N220" s="70"/>
      <c r="O220" s="385">
        <f t="shared" si="184"/>
        <v>200000</v>
      </c>
      <c r="P220" s="49">
        <v>1</v>
      </c>
    </row>
    <row r="221" spans="1:16" x14ac:dyDescent="0.35">
      <c r="A221" s="154" t="s">
        <v>761</v>
      </c>
      <c r="B221" s="294">
        <v>0</v>
      </c>
      <c r="C221" s="50">
        <v>600000</v>
      </c>
      <c r="D221" s="70"/>
      <c r="E221" s="70"/>
      <c r="F221" s="70"/>
      <c r="G221" s="50"/>
      <c r="H221" s="70"/>
      <c r="I221" s="70"/>
      <c r="J221" s="70"/>
      <c r="K221" s="70"/>
      <c r="L221" s="70"/>
      <c r="M221" s="70"/>
      <c r="N221" s="70"/>
      <c r="O221" s="385">
        <f t="shared" si="184"/>
        <v>600000</v>
      </c>
      <c r="P221" s="49">
        <v>1</v>
      </c>
    </row>
    <row r="222" spans="1:16" x14ac:dyDescent="0.35">
      <c r="A222" s="154" t="s">
        <v>817</v>
      </c>
      <c r="B222" s="294"/>
      <c r="C222" s="8">
        <v>0</v>
      </c>
      <c r="D222" s="8">
        <v>0</v>
      </c>
      <c r="E222" s="8">
        <v>0</v>
      </c>
      <c r="F222" s="8">
        <v>200000</v>
      </c>
      <c r="G222" s="8">
        <v>200000</v>
      </c>
      <c r="H222" s="8">
        <v>0</v>
      </c>
      <c r="I222" s="8">
        <v>0</v>
      </c>
      <c r="J222" s="8">
        <v>0</v>
      </c>
      <c r="K222" s="8">
        <v>200000</v>
      </c>
      <c r="L222" s="8">
        <v>0</v>
      </c>
      <c r="M222" s="8">
        <v>0</v>
      </c>
      <c r="N222" s="8">
        <v>0</v>
      </c>
      <c r="O222" s="385">
        <f t="shared" si="184"/>
        <v>600000</v>
      </c>
      <c r="P222" s="49">
        <v>1</v>
      </c>
    </row>
    <row r="223" spans="1:16" x14ac:dyDescent="0.35">
      <c r="A223" s="154" t="s">
        <v>700</v>
      </c>
      <c r="B223" s="294">
        <v>420000</v>
      </c>
      <c r="C223" s="50"/>
      <c r="D223" s="70"/>
      <c r="E223" s="70"/>
      <c r="F223" s="70"/>
      <c r="G223" s="50"/>
      <c r="H223" s="70"/>
      <c r="I223" s="70"/>
      <c r="J223" s="70"/>
      <c r="K223" s="70"/>
      <c r="L223" s="70"/>
      <c r="M223" s="70"/>
      <c r="N223" s="70"/>
      <c r="O223" s="385">
        <f t="shared" si="184"/>
        <v>0</v>
      </c>
      <c r="P223" s="49">
        <v>0</v>
      </c>
    </row>
    <row r="224" spans="1:16" x14ac:dyDescent="0.35">
      <c r="A224" s="154" t="s">
        <v>702</v>
      </c>
      <c r="B224" s="294">
        <v>1600000</v>
      </c>
      <c r="C224" s="50"/>
      <c r="D224" s="70"/>
      <c r="E224" s="70"/>
      <c r="F224" s="70"/>
      <c r="G224" s="50">
        <v>0</v>
      </c>
      <c r="H224" s="70"/>
      <c r="I224" s="70"/>
      <c r="J224" s="70"/>
      <c r="K224" s="70"/>
      <c r="L224" s="70"/>
      <c r="M224" s="70"/>
      <c r="N224" s="70"/>
      <c r="O224" s="385">
        <f t="shared" si="184"/>
        <v>0</v>
      </c>
      <c r="P224" s="49">
        <f t="shared" ref="P224" si="186">+(O224-B224)/B224</f>
        <v>-1</v>
      </c>
    </row>
    <row r="225" spans="1:18" x14ac:dyDescent="0.35">
      <c r="A225" s="154" t="s">
        <v>701</v>
      </c>
      <c r="B225" s="294">
        <v>160000</v>
      </c>
      <c r="C225" s="50"/>
      <c r="D225" s="70"/>
      <c r="E225" s="70"/>
      <c r="F225" s="70"/>
      <c r="G225" s="50"/>
      <c r="H225" s="70"/>
      <c r="I225" s="70"/>
      <c r="J225" s="70"/>
      <c r="K225" s="70"/>
      <c r="L225" s="70"/>
      <c r="M225" s="70"/>
      <c r="N225" s="70"/>
      <c r="O225" s="385">
        <f t="shared" si="184"/>
        <v>0</v>
      </c>
      <c r="P225" s="49">
        <v>0</v>
      </c>
    </row>
    <row r="226" spans="1:18" x14ac:dyDescent="0.35">
      <c r="A226" s="256" t="s">
        <v>769</v>
      </c>
      <c r="B226" s="294">
        <v>470000</v>
      </c>
      <c r="C226" s="50"/>
      <c r="D226" s="70"/>
      <c r="E226" s="70"/>
      <c r="F226" s="70"/>
      <c r="G226" s="50"/>
      <c r="H226" s="70"/>
      <c r="I226" s="70"/>
      <c r="J226" s="70">
        <v>700000</v>
      </c>
      <c r="K226" s="70"/>
      <c r="L226" s="70"/>
      <c r="M226" s="70"/>
      <c r="N226" s="70"/>
      <c r="O226" s="385">
        <f t="shared" si="148"/>
        <v>700000</v>
      </c>
      <c r="P226" s="49">
        <f t="shared" si="177"/>
        <v>0.48936170212765956</v>
      </c>
    </row>
    <row r="227" spans="1:18" x14ac:dyDescent="0.35">
      <c r="A227" s="154" t="s">
        <v>538</v>
      </c>
      <c r="B227" s="294">
        <v>2640000</v>
      </c>
      <c r="C227" s="50"/>
      <c r="D227" s="70"/>
      <c r="E227" s="70"/>
      <c r="F227" s="70"/>
      <c r="G227" s="50"/>
      <c r="H227" s="70"/>
      <c r="I227" s="70"/>
      <c r="J227" s="70"/>
      <c r="K227" s="70"/>
      <c r="L227" s="70"/>
      <c r="M227" s="70"/>
      <c r="N227" s="50">
        <f>ROUND(((+$B$227*$B$62)+$B$227)/1,-3)</f>
        <v>2751000</v>
      </c>
      <c r="O227" s="385">
        <f t="shared" si="148"/>
        <v>2751000</v>
      </c>
      <c r="P227" s="49">
        <f t="shared" si="177"/>
        <v>4.2045454545454546E-2</v>
      </c>
    </row>
    <row r="228" spans="1:18" x14ac:dyDescent="0.35">
      <c r="A228" s="154" t="s">
        <v>703</v>
      </c>
      <c r="B228" s="294">
        <v>4500000</v>
      </c>
      <c r="C228" s="50"/>
      <c r="D228" s="70"/>
      <c r="E228" s="70"/>
      <c r="F228" s="70"/>
      <c r="G228" s="50"/>
      <c r="H228" s="70"/>
      <c r="I228" s="70"/>
      <c r="J228" s="70"/>
      <c r="K228" s="70"/>
      <c r="L228" s="70"/>
      <c r="M228" s="70"/>
      <c r="N228" s="50">
        <f>ROUND(((+$B$228*$B$62)+$B$228)/1,-3)</f>
        <v>4689000</v>
      </c>
      <c r="O228" s="385">
        <f t="shared" si="148"/>
        <v>4689000</v>
      </c>
      <c r="P228" s="49">
        <f t="shared" si="177"/>
        <v>4.2000000000000003E-2</v>
      </c>
    </row>
    <row r="229" spans="1:18" x14ac:dyDescent="0.35">
      <c r="A229" s="154" t="s">
        <v>704</v>
      </c>
      <c r="B229" s="295">
        <v>0</v>
      </c>
      <c r="C229" s="50">
        <v>2000000</v>
      </c>
      <c r="D229" s="70"/>
      <c r="E229" s="70"/>
      <c r="F229" s="70"/>
      <c r="G229" s="50"/>
      <c r="H229" s="70"/>
      <c r="I229" s="70"/>
      <c r="J229" s="70"/>
      <c r="K229" s="70"/>
      <c r="L229" s="70"/>
      <c r="M229" s="70"/>
      <c r="N229" s="50"/>
      <c r="O229" s="385">
        <f t="shared" si="148"/>
        <v>2000000</v>
      </c>
      <c r="P229" s="49"/>
    </row>
    <row r="230" spans="1:18" x14ac:dyDescent="0.35">
      <c r="A230" s="154" t="s">
        <v>516</v>
      </c>
      <c r="B230" s="294">
        <v>8600000</v>
      </c>
      <c r="C230" s="50">
        <v>0</v>
      </c>
      <c r="D230" s="70"/>
      <c r="E230" s="50">
        <v>0</v>
      </c>
      <c r="F230" s="70"/>
      <c r="G230" s="50"/>
      <c r="H230" s="70"/>
      <c r="I230" s="70"/>
      <c r="J230" s="70"/>
      <c r="K230" s="70"/>
      <c r="L230" s="70"/>
      <c r="M230" s="70"/>
      <c r="N230" s="70"/>
      <c r="O230" s="385">
        <f t="shared" si="148"/>
        <v>0</v>
      </c>
      <c r="P230" s="49">
        <v>1</v>
      </c>
    </row>
    <row r="231" spans="1:18" x14ac:dyDescent="0.35">
      <c r="A231" s="255" t="s">
        <v>432</v>
      </c>
      <c r="B231" s="294">
        <v>0</v>
      </c>
      <c r="C231" s="70">
        <v>400000</v>
      </c>
      <c r="D231" s="70">
        <v>0</v>
      </c>
      <c r="E231" s="50">
        <v>2000000</v>
      </c>
      <c r="F231" s="78">
        <v>0</v>
      </c>
      <c r="G231" s="70">
        <v>0</v>
      </c>
      <c r="H231" s="70">
        <v>0</v>
      </c>
      <c r="I231" s="70">
        <v>0</v>
      </c>
      <c r="J231" s="50">
        <v>0</v>
      </c>
      <c r="K231" s="70">
        <v>0</v>
      </c>
      <c r="L231" s="70">
        <v>0</v>
      </c>
      <c r="M231" s="70">
        <v>0</v>
      </c>
      <c r="N231" s="70">
        <v>0</v>
      </c>
      <c r="O231" s="385">
        <f t="shared" si="148"/>
        <v>2400000</v>
      </c>
      <c r="P231" s="49">
        <v>1</v>
      </c>
    </row>
    <row r="232" spans="1:18" x14ac:dyDescent="0.35">
      <c r="A232" s="154" t="s">
        <v>220</v>
      </c>
      <c r="B232" s="300">
        <f t="shared" ref="B232:O232" si="187">SUM(B233:B274)</f>
        <v>60376500</v>
      </c>
      <c r="C232" s="50">
        <f t="shared" si="187"/>
        <v>3158000</v>
      </c>
      <c r="D232" s="50">
        <f t="shared" si="187"/>
        <v>12520000</v>
      </c>
      <c r="E232" s="50">
        <f t="shared" si="187"/>
        <v>16501000</v>
      </c>
      <c r="F232" s="50">
        <f t="shared" si="187"/>
        <v>8917000</v>
      </c>
      <c r="G232" s="50">
        <f t="shared" si="187"/>
        <v>3034000</v>
      </c>
      <c r="H232" s="50">
        <f t="shared" si="187"/>
        <v>3334000</v>
      </c>
      <c r="I232" s="50">
        <f t="shared" si="187"/>
        <v>1820000</v>
      </c>
      <c r="J232" s="50">
        <f t="shared" si="187"/>
        <v>5698000</v>
      </c>
      <c r="K232" s="50">
        <f t="shared" si="187"/>
        <v>7854000</v>
      </c>
      <c r="L232" s="50">
        <f t="shared" si="187"/>
        <v>5229000</v>
      </c>
      <c r="M232" s="50">
        <f t="shared" si="187"/>
        <v>9643000</v>
      </c>
      <c r="N232" s="50">
        <f t="shared" si="187"/>
        <v>1700000</v>
      </c>
      <c r="O232" s="387">
        <f t="shared" si="187"/>
        <v>79408000</v>
      </c>
      <c r="P232" s="49">
        <f t="shared" si="177"/>
        <v>0.31521370069480675</v>
      </c>
      <c r="Q232" s="39"/>
      <c r="R232" s="41"/>
    </row>
    <row r="233" spans="1:18" x14ac:dyDescent="0.35">
      <c r="A233" s="255" t="s">
        <v>709</v>
      </c>
      <c r="B233" s="294">
        <v>170000</v>
      </c>
      <c r="C233" s="50">
        <v>200000</v>
      </c>
      <c r="D233" s="50">
        <v>200000</v>
      </c>
      <c r="E233" s="50">
        <v>40000</v>
      </c>
      <c r="F233" s="50">
        <v>40000</v>
      </c>
      <c r="G233" s="50">
        <v>120000</v>
      </c>
      <c r="H233" s="50">
        <v>120000</v>
      </c>
      <c r="I233" s="50">
        <v>120000</v>
      </c>
      <c r="J233" s="50">
        <v>80000</v>
      </c>
      <c r="K233" s="50">
        <v>80000</v>
      </c>
      <c r="L233" s="50">
        <v>40000</v>
      </c>
      <c r="M233" s="50">
        <v>0</v>
      </c>
      <c r="N233" s="50">
        <v>0</v>
      </c>
      <c r="O233" s="385">
        <f t="shared" ref="O233:O273" si="188">SUM(C233:N233)</f>
        <v>1040000</v>
      </c>
      <c r="P233" s="49">
        <f t="shared" si="177"/>
        <v>5.117647058823529</v>
      </c>
      <c r="R233" s="39"/>
    </row>
    <row r="234" spans="1:18" x14ac:dyDescent="0.35">
      <c r="A234" s="255" t="s">
        <v>789</v>
      </c>
      <c r="B234" s="294">
        <v>0</v>
      </c>
      <c r="C234" s="50"/>
      <c r="D234" s="50"/>
      <c r="E234" s="50"/>
      <c r="F234" s="50"/>
      <c r="G234" s="50">
        <v>60000</v>
      </c>
      <c r="H234" s="50">
        <v>0</v>
      </c>
      <c r="I234" s="50">
        <v>0</v>
      </c>
      <c r="J234" s="50">
        <v>0</v>
      </c>
      <c r="K234" s="50">
        <v>60000</v>
      </c>
      <c r="L234" s="50"/>
      <c r="M234" s="50"/>
      <c r="N234" s="50"/>
      <c r="O234" s="385">
        <f t="shared" si="188"/>
        <v>120000</v>
      </c>
      <c r="P234" s="49">
        <v>1</v>
      </c>
      <c r="R234" s="39"/>
    </row>
    <row r="235" spans="1:18" x14ac:dyDescent="0.35">
      <c r="A235" s="255" t="s">
        <v>919</v>
      </c>
      <c r="B235" s="386">
        <v>1125000</v>
      </c>
      <c r="C235" s="411">
        <v>0</v>
      </c>
      <c r="D235" s="411">
        <f>ROUND(((+$B$235*$B$62)+$B$235)/3,-3)</f>
        <v>391000</v>
      </c>
      <c r="E235" s="411">
        <f>ROUND(((+$B$235*$B$62)+$B$235)/3,-3)</f>
        <v>391000</v>
      </c>
      <c r="F235" s="386">
        <f>ROUND(((+$B$235*$B$62)+$B$235)/3,-3)</f>
        <v>391000</v>
      </c>
      <c r="G235" s="386">
        <v>0</v>
      </c>
      <c r="H235" s="386">
        <v>0</v>
      </c>
      <c r="I235" s="386">
        <v>0</v>
      </c>
      <c r="J235" s="386">
        <v>0</v>
      </c>
      <c r="K235" s="386">
        <v>0</v>
      </c>
      <c r="L235" s="386">
        <v>0</v>
      </c>
      <c r="M235" s="386">
        <v>0</v>
      </c>
      <c r="N235" s="386">
        <v>0</v>
      </c>
      <c r="O235" s="385">
        <f t="shared" si="188"/>
        <v>1173000</v>
      </c>
      <c r="P235" s="49">
        <f t="shared" si="177"/>
        <v>4.2666666666666665E-2</v>
      </c>
      <c r="R235" s="46"/>
    </row>
    <row r="236" spans="1:18" x14ac:dyDescent="0.35">
      <c r="A236" s="255" t="s">
        <v>719</v>
      </c>
      <c r="B236" s="419">
        <v>4200000</v>
      </c>
      <c r="C236" s="411">
        <f t="shared" ref="C236:N236" si="189">ROUND(((+$B$236*$B$62)+$B$236)/12,-3)+3000</f>
        <v>368000</v>
      </c>
      <c r="D236" s="411">
        <f t="shared" si="189"/>
        <v>368000</v>
      </c>
      <c r="E236" s="411">
        <f t="shared" si="189"/>
        <v>368000</v>
      </c>
      <c r="F236" s="386">
        <f t="shared" si="189"/>
        <v>368000</v>
      </c>
      <c r="G236" s="386">
        <f t="shared" si="189"/>
        <v>368000</v>
      </c>
      <c r="H236" s="386">
        <f t="shared" si="189"/>
        <v>368000</v>
      </c>
      <c r="I236" s="386">
        <f t="shared" si="189"/>
        <v>368000</v>
      </c>
      <c r="J236" s="386">
        <f t="shared" si="189"/>
        <v>368000</v>
      </c>
      <c r="K236" s="386">
        <f t="shared" si="189"/>
        <v>368000</v>
      </c>
      <c r="L236" s="386">
        <f t="shared" si="189"/>
        <v>368000</v>
      </c>
      <c r="M236" s="386">
        <f t="shared" si="189"/>
        <v>368000</v>
      </c>
      <c r="N236" s="386">
        <f t="shared" si="189"/>
        <v>368000</v>
      </c>
      <c r="O236" s="385">
        <f t="shared" si="188"/>
        <v>4416000</v>
      </c>
      <c r="P236" s="49">
        <f t="shared" si="177"/>
        <v>5.1428571428571428E-2</v>
      </c>
      <c r="R236" s="46"/>
    </row>
    <row r="237" spans="1:18" x14ac:dyDescent="0.35">
      <c r="A237" s="255" t="s">
        <v>723</v>
      </c>
      <c r="B237" s="419">
        <v>1740000</v>
      </c>
      <c r="C237" s="411">
        <v>0</v>
      </c>
      <c r="D237" s="411">
        <f>ROUND(((+$B$237*$B$62)+$B$237)/3,-3)</f>
        <v>604000</v>
      </c>
      <c r="E237" s="411">
        <f>ROUND(((+$B$237*$B$62)+$B$237)/3,-3)</f>
        <v>604000</v>
      </c>
      <c r="F237" s="386">
        <f>ROUND(((+$B$237*$B$62)+$B$237)/3,-3)</f>
        <v>604000</v>
      </c>
      <c r="G237" s="386">
        <v>0</v>
      </c>
      <c r="H237" s="386">
        <v>0</v>
      </c>
      <c r="I237" s="386">
        <v>0</v>
      </c>
      <c r="J237" s="386">
        <v>0</v>
      </c>
      <c r="K237" s="386">
        <v>0</v>
      </c>
      <c r="L237" s="386">
        <v>0</v>
      </c>
      <c r="M237" s="386">
        <v>0</v>
      </c>
      <c r="N237" s="386">
        <v>0</v>
      </c>
      <c r="O237" s="385">
        <f t="shared" si="188"/>
        <v>1812000</v>
      </c>
      <c r="P237" s="49">
        <f t="shared" si="177"/>
        <v>4.1379310344827586E-2</v>
      </c>
    </row>
    <row r="238" spans="1:18" x14ac:dyDescent="0.35">
      <c r="A238" s="255" t="s">
        <v>720</v>
      </c>
      <c r="B238" s="419">
        <v>4200000</v>
      </c>
      <c r="C238" s="411">
        <f t="shared" ref="C238:N238" si="190">ROUND(((+$B$238*$B$62)+$B$238)/12,-3)+3000</f>
        <v>368000</v>
      </c>
      <c r="D238" s="411">
        <f t="shared" si="190"/>
        <v>368000</v>
      </c>
      <c r="E238" s="411">
        <f t="shared" si="190"/>
        <v>368000</v>
      </c>
      <c r="F238" s="386">
        <f t="shared" si="190"/>
        <v>368000</v>
      </c>
      <c r="G238" s="386">
        <f t="shared" si="190"/>
        <v>368000</v>
      </c>
      <c r="H238" s="386">
        <f t="shared" si="190"/>
        <v>368000</v>
      </c>
      <c r="I238" s="386">
        <f t="shared" si="190"/>
        <v>368000</v>
      </c>
      <c r="J238" s="386">
        <f t="shared" si="190"/>
        <v>368000</v>
      </c>
      <c r="K238" s="386">
        <f t="shared" si="190"/>
        <v>368000</v>
      </c>
      <c r="L238" s="386">
        <f t="shared" si="190"/>
        <v>368000</v>
      </c>
      <c r="M238" s="386">
        <f t="shared" si="190"/>
        <v>368000</v>
      </c>
      <c r="N238" s="386">
        <f t="shared" si="190"/>
        <v>368000</v>
      </c>
      <c r="O238" s="385">
        <f t="shared" si="188"/>
        <v>4416000</v>
      </c>
      <c r="P238" s="49">
        <f t="shared" si="177"/>
        <v>5.1428571428571428E-2</v>
      </c>
    </row>
    <row r="239" spans="1:18" x14ac:dyDescent="0.35">
      <c r="A239" s="255" t="s">
        <v>724</v>
      </c>
      <c r="B239" s="419">
        <v>1551000</v>
      </c>
      <c r="C239" s="411">
        <v>0</v>
      </c>
      <c r="D239" s="411">
        <f>ROUND(((+$B$239*$B$62)+$B$239)/3,-3)</f>
        <v>539000</v>
      </c>
      <c r="E239" s="411">
        <f>ROUND(((+$B$239*$B$62)+$B$239)/3,-3)</f>
        <v>539000</v>
      </c>
      <c r="F239" s="386">
        <f>ROUND(((+$B$239*$B$62)+$B$239)/3,-3)</f>
        <v>539000</v>
      </c>
      <c r="G239" s="386">
        <v>540000</v>
      </c>
      <c r="H239" s="386">
        <v>0</v>
      </c>
      <c r="I239" s="418">
        <v>0</v>
      </c>
      <c r="J239" s="386">
        <v>540000</v>
      </c>
      <c r="K239" s="386">
        <v>0</v>
      </c>
      <c r="L239" s="386">
        <v>540000</v>
      </c>
      <c r="M239" s="386">
        <v>0</v>
      </c>
      <c r="N239" s="386">
        <v>0</v>
      </c>
      <c r="O239" s="385">
        <f t="shared" si="188"/>
        <v>3237000</v>
      </c>
      <c r="P239" s="49">
        <f t="shared" si="177"/>
        <v>1.0870406189555126</v>
      </c>
    </row>
    <row r="240" spans="1:18" x14ac:dyDescent="0.35">
      <c r="A240" s="255" t="s">
        <v>725</v>
      </c>
      <c r="B240" s="419">
        <v>1926000</v>
      </c>
      <c r="C240" s="411">
        <v>0</v>
      </c>
      <c r="D240" s="411">
        <f>ROUND(((+$B$240*$B$62)+$B$240)/3,-3)+3000</f>
        <v>672000</v>
      </c>
      <c r="E240" s="411">
        <f>ROUND(((+$B$240*$B$62)+$B$240)/3,-3)+3000</f>
        <v>672000</v>
      </c>
      <c r="F240" s="386">
        <f>ROUND(((+$B$240*$B$62)+$B$240)/3,-3)+3000</f>
        <v>672000</v>
      </c>
      <c r="G240" s="386">
        <v>0</v>
      </c>
      <c r="H240" s="386">
        <v>0</v>
      </c>
      <c r="I240" s="386">
        <v>0</v>
      </c>
      <c r="J240" s="386">
        <v>0</v>
      </c>
      <c r="K240" s="386">
        <v>0</v>
      </c>
      <c r="L240" s="386">
        <v>0</v>
      </c>
      <c r="M240" s="386">
        <v>0</v>
      </c>
      <c r="N240" s="386">
        <v>0</v>
      </c>
      <c r="O240" s="385">
        <f t="shared" si="188"/>
        <v>2016000</v>
      </c>
      <c r="P240" s="49">
        <f t="shared" si="177"/>
        <v>4.6728971962616821E-2</v>
      </c>
    </row>
    <row r="241" spans="1:16" x14ac:dyDescent="0.35">
      <c r="A241" s="255" t="s">
        <v>721</v>
      </c>
      <c r="B241" s="419">
        <v>1050000</v>
      </c>
      <c r="C241" s="411"/>
      <c r="D241" s="411">
        <v>390000</v>
      </c>
      <c r="E241" s="411">
        <v>390000</v>
      </c>
      <c r="F241" s="386">
        <v>390000</v>
      </c>
      <c r="G241" s="386"/>
      <c r="H241" s="386"/>
      <c r="I241" s="386"/>
      <c r="J241" s="386"/>
      <c r="K241" s="386"/>
      <c r="L241" s="386"/>
      <c r="M241" s="386"/>
      <c r="N241" s="386"/>
      <c r="O241" s="385">
        <f t="shared" si="188"/>
        <v>1170000</v>
      </c>
      <c r="P241" s="49">
        <f t="shared" si="177"/>
        <v>0.11428571428571428</v>
      </c>
    </row>
    <row r="242" spans="1:16" x14ac:dyDescent="0.35">
      <c r="A242" s="255" t="s">
        <v>435</v>
      </c>
      <c r="B242" s="419">
        <v>300000</v>
      </c>
      <c r="C242" s="411">
        <v>0</v>
      </c>
      <c r="D242" s="411">
        <v>366000</v>
      </c>
      <c r="E242" s="411">
        <v>366000</v>
      </c>
      <c r="F242" s="386">
        <v>0</v>
      </c>
      <c r="G242" s="386">
        <v>0</v>
      </c>
      <c r="H242" s="386">
        <v>0</v>
      </c>
      <c r="I242" s="386">
        <v>0</v>
      </c>
      <c r="J242" s="386">
        <v>0</v>
      </c>
      <c r="K242" s="386">
        <v>0</v>
      </c>
      <c r="L242" s="386">
        <v>0</v>
      </c>
      <c r="M242" s="386">
        <v>0</v>
      </c>
      <c r="N242" s="386">
        <v>0</v>
      </c>
      <c r="O242" s="385">
        <f t="shared" si="188"/>
        <v>732000</v>
      </c>
      <c r="P242" s="49">
        <f t="shared" si="177"/>
        <v>1.44</v>
      </c>
    </row>
    <row r="243" spans="1:16" x14ac:dyDescent="0.35">
      <c r="A243" s="255" t="s">
        <v>712</v>
      </c>
      <c r="B243" s="419">
        <v>640000</v>
      </c>
      <c r="C243" s="411"/>
      <c r="D243" s="411">
        <v>300000</v>
      </c>
      <c r="E243" s="411">
        <v>300000</v>
      </c>
      <c r="F243" s="386">
        <v>300000</v>
      </c>
      <c r="G243" s="386"/>
      <c r="H243" s="386"/>
      <c r="I243" s="386"/>
      <c r="J243" s="386"/>
      <c r="K243" s="386"/>
      <c r="L243" s="386"/>
      <c r="M243" s="386"/>
      <c r="N243" s="386"/>
      <c r="O243" s="385">
        <f t="shared" ref="O243" si="191">SUM(C243:N243)</f>
        <v>900000</v>
      </c>
      <c r="P243" s="49">
        <f t="shared" ref="P243" si="192">+(O243-B243)/B243</f>
        <v>0.40625</v>
      </c>
    </row>
    <row r="244" spans="1:16" x14ac:dyDescent="0.35">
      <c r="A244" s="255" t="s">
        <v>716</v>
      </c>
      <c r="B244" s="419">
        <v>0</v>
      </c>
      <c r="C244" s="411"/>
      <c r="D244" s="411">
        <v>366000</v>
      </c>
      <c r="E244" s="411">
        <v>366000</v>
      </c>
      <c r="F244" s="386"/>
      <c r="G244" s="386"/>
      <c r="H244" s="386"/>
      <c r="I244" s="386"/>
      <c r="J244" s="386"/>
      <c r="K244" s="386"/>
      <c r="L244" s="386"/>
      <c r="M244" s="386"/>
      <c r="N244" s="386"/>
      <c r="O244" s="385">
        <f t="shared" ref="O244" si="193">SUM(C244:N244)</f>
        <v>732000</v>
      </c>
      <c r="P244" s="49">
        <v>1</v>
      </c>
    </row>
    <row r="245" spans="1:16" x14ac:dyDescent="0.35">
      <c r="A245" s="255" t="s">
        <v>722</v>
      </c>
      <c r="B245" s="419">
        <v>300000</v>
      </c>
      <c r="C245" s="411">
        <v>0</v>
      </c>
      <c r="D245" s="411">
        <v>300000</v>
      </c>
      <c r="E245" s="411">
        <v>300000</v>
      </c>
      <c r="F245" s="386">
        <v>300000</v>
      </c>
      <c r="G245" s="386">
        <v>0</v>
      </c>
      <c r="H245" s="386">
        <v>0</v>
      </c>
      <c r="I245" s="386">
        <v>0</v>
      </c>
      <c r="J245" s="386">
        <v>0</v>
      </c>
      <c r="K245" s="386">
        <v>0</v>
      </c>
      <c r="L245" s="386">
        <v>0</v>
      </c>
      <c r="M245" s="386">
        <v>0</v>
      </c>
      <c r="N245" s="386">
        <v>0</v>
      </c>
      <c r="O245" s="385">
        <f t="shared" si="188"/>
        <v>900000</v>
      </c>
      <c r="P245" s="49">
        <f t="shared" si="177"/>
        <v>2</v>
      </c>
    </row>
    <row r="246" spans="1:16" x14ac:dyDescent="0.35">
      <c r="A246" s="255" t="s">
        <v>726</v>
      </c>
      <c r="B246" s="419">
        <v>1440000</v>
      </c>
      <c r="C246" s="411">
        <v>564000</v>
      </c>
      <c r="D246" s="411">
        <v>564000</v>
      </c>
      <c r="E246" s="411">
        <v>564000</v>
      </c>
      <c r="F246" s="386">
        <v>0</v>
      </c>
      <c r="G246" s="386">
        <v>564000</v>
      </c>
      <c r="H246" s="386"/>
      <c r="I246" s="386"/>
      <c r="J246" s="386">
        <v>564000</v>
      </c>
      <c r="K246" s="386"/>
      <c r="L246" s="386"/>
      <c r="M246" s="386">
        <v>564000</v>
      </c>
      <c r="N246" s="386"/>
      <c r="O246" s="385">
        <f t="shared" si="188"/>
        <v>3384000</v>
      </c>
      <c r="P246" s="49">
        <f t="shared" si="177"/>
        <v>1.35</v>
      </c>
    </row>
    <row r="247" spans="1:16" x14ac:dyDescent="0.35">
      <c r="A247" s="255" t="s">
        <v>536</v>
      </c>
      <c r="B247" s="386">
        <v>1216000</v>
      </c>
      <c r="C247" s="411"/>
      <c r="D247" s="411">
        <f>ROUND(((+$B$247*$B$62)+$B$247)/3,-3)</f>
        <v>422000</v>
      </c>
      <c r="E247" s="411">
        <f>ROUND(((+$B$247*$B$62)+$B$247)/3,-3)</f>
        <v>422000</v>
      </c>
      <c r="F247" s="386">
        <f>ROUND(((+$B$247*$B$62)+$B$247)/3,-3)</f>
        <v>422000</v>
      </c>
      <c r="G247" s="386"/>
      <c r="H247" s="386"/>
      <c r="I247" s="386"/>
      <c r="J247" s="386"/>
      <c r="K247" s="386"/>
      <c r="L247" s="386"/>
      <c r="M247" s="386"/>
      <c r="N247" s="386"/>
      <c r="O247" s="385">
        <f t="shared" ref="O247:O254" si="194">SUM(C247:N247)</f>
        <v>1266000</v>
      </c>
      <c r="P247" s="49">
        <f t="shared" si="177"/>
        <v>4.1118421052631582E-2</v>
      </c>
    </row>
    <row r="248" spans="1:16" x14ac:dyDescent="0.35">
      <c r="A248" s="255" t="s">
        <v>715</v>
      </c>
      <c r="B248" s="419">
        <v>0</v>
      </c>
      <c r="C248" s="411">
        <v>600000</v>
      </c>
      <c r="D248" s="411">
        <v>600000</v>
      </c>
      <c r="E248" s="411">
        <v>600000</v>
      </c>
      <c r="F248" s="386"/>
      <c r="G248" s="386"/>
      <c r="H248" s="386"/>
      <c r="I248" s="386"/>
      <c r="J248" s="386"/>
      <c r="K248" s="386"/>
      <c r="L248" s="386"/>
      <c r="M248" s="386"/>
      <c r="N248" s="386"/>
      <c r="O248" s="385">
        <f t="shared" ref="O248:O253" si="195">SUM(C248:N248)</f>
        <v>1800000</v>
      </c>
      <c r="P248" s="49">
        <v>1</v>
      </c>
    </row>
    <row r="249" spans="1:16" x14ac:dyDescent="0.35">
      <c r="A249" s="408" t="s">
        <v>910</v>
      </c>
      <c r="B249" s="386"/>
      <c r="C249" s="8"/>
      <c r="D249" s="8"/>
      <c r="E249" s="8"/>
      <c r="F249" s="8">
        <v>750000</v>
      </c>
      <c r="G249" s="8"/>
      <c r="H249" s="8"/>
      <c r="I249" s="8"/>
      <c r="J249" s="8"/>
      <c r="K249" s="8"/>
      <c r="L249" s="8"/>
      <c r="M249" s="32"/>
      <c r="N249" s="32"/>
      <c r="O249" s="385">
        <f t="shared" si="195"/>
        <v>750000</v>
      </c>
      <c r="P249" s="49"/>
    </row>
    <row r="250" spans="1:16" x14ac:dyDescent="0.35">
      <c r="A250" s="349" t="s">
        <v>874</v>
      </c>
      <c r="B250" s="386">
        <v>0</v>
      </c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>
        <v>5500000</v>
      </c>
      <c r="N250" s="50"/>
      <c r="O250" s="385">
        <f t="shared" si="195"/>
        <v>5500000</v>
      </c>
      <c r="P250" s="49">
        <v>1</v>
      </c>
    </row>
    <row r="251" spans="1:16" x14ac:dyDescent="0.35">
      <c r="A251" s="349" t="s">
        <v>875</v>
      </c>
      <c r="B251" s="386">
        <v>0</v>
      </c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>
        <v>500000</v>
      </c>
      <c r="N251" s="50"/>
      <c r="O251" s="385">
        <f t="shared" si="195"/>
        <v>500000</v>
      </c>
      <c r="P251" s="49">
        <v>1</v>
      </c>
    </row>
    <row r="252" spans="1:16" x14ac:dyDescent="0.35">
      <c r="A252" s="349" t="s">
        <v>876</v>
      </c>
      <c r="B252" s="386">
        <v>0</v>
      </c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>
        <v>564000</v>
      </c>
      <c r="N252" s="50"/>
      <c r="O252" s="385">
        <f t="shared" si="195"/>
        <v>564000</v>
      </c>
      <c r="P252" s="49">
        <v>1</v>
      </c>
    </row>
    <row r="253" spans="1:16" x14ac:dyDescent="0.35">
      <c r="A253" s="349" t="s">
        <v>877</v>
      </c>
      <c r="B253" s="386">
        <v>0</v>
      </c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>
        <v>715000</v>
      </c>
      <c r="N253" s="50"/>
      <c r="O253" s="385">
        <f t="shared" si="195"/>
        <v>715000</v>
      </c>
      <c r="P253" s="49">
        <v>1</v>
      </c>
    </row>
    <row r="254" spans="1:16" x14ac:dyDescent="0.35">
      <c r="A254" s="255" t="s">
        <v>562</v>
      </c>
      <c r="B254" s="386">
        <v>4620000</v>
      </c>
      <c r="C254" s="50">
        <f t="shared" ref="C254:N254" si="196">ROUND(((+$B$254*$B$62)+$B$254)/12,-3)+3000</f>
        <v>404000</v>
      </c>
      <c r="D254" s="50">
        <f t="shared" si="196"/>
        <v>404000</v>
      </c>
      <c r="E254" s="50">
        <f t="shared" si="196"/>
        <v>404000</v>
      </c>
      <c r="F254" s="50">
        <f t="shared" si="196"/>
        <v>404000</v>
      </c>
      <c r="G254" s="50">
        <f t="shared" si="196"/>
        <v>404000</v>
      </c>
      <c r="H254" s="50">
        <f t="shared" si="196"/>
        <v>404000</v>
      </c>
      <c r="I254" s="50">
        <f t="shared" si="196"/>
        <v>404000</v>
      </c>
      <c r="J254" s="50">
        <f t="shared" si="196"/>
        <v>404000</v>
      </c>
      <c r="K254" s="50">
        <f t="shared" si="196"/>
        <v>404000</v>
      </c>
      <c r="L254" s="50">
        <f t="shared" si="196"/>
        <v>404000</v>
      </c>
      <c r="M254" s="50">
        <f t="shared" si="196"/>
        <v>404000</v>
      </c>
      <c r="N254" s="50">
        <f t="shared" si="196"/>
        <v>404000</v>
      </c>
      <c r="O254" s="416">
        <f t="shared" si="194"/>
        <v>4848000</v>
      </c>
      <c r="P254" s="49">
        <f t="shared" si="177"/>
        <v>4.9350649350649353E-2</v>
      </c>
    </row>
    <row r="255" spans="1:16" x14ac:dyDescent="0.35">
      <c r="A255" s="325" t="s">
        <v>402</v>
      </c>
      <c r="B255" s="419">
        <v>6609000</v>
      </c>
      <c r="C255" s="72"/>
      <c r="D255" s="411">
        <v>2330000</v>
      </c>
      <c r="E255" s="411">
        <v>2330000</v>
      </c>
      <c r="F255" s="411">
        <v>2330000</v>
      </c>
      <c r="G255" s="50"/>
      <c r="H255" s="50"/>
      <c r="I255" s="50"/>
      <c r="J255" s="50"/>
      <c r="K255" s="50"/>
      <c r="L255" s="58"/>
      <c r="M255" s="50"/>
      <c r="N255" s="50"/>
      <c r="O255" s="385">
        <f t="shared" si="188"/>
        <v>6990000</v>
      </c>
      <c r="P255" s="49">
        <f t="shared" si="177"/>
        <v>5.7648660916931459E-2</v>
      </c>
    </row>
    <row r="256" spans="1:16" x14ac:dyDescent="0.35">
      <c r="A256" s="255" t="s">
        <v>517</v>
      </c>
      <c r="B256" s="386">
        <v>5480000</v>
      </c>
      <c r="C256" s="386">
        <v>500000</v>
      </c>
      <c r="D256" s="386">
        <v>500000</v>
      </c>
      <c r="E256" s="386">
        <v>500000</v>
      </c>
      <c r="F256" s="386">
        <v>500000</v>
      </c>
      <c r="G256" s="386">
        <v>500000</v>
      </c>
      <c r="H256" s="386">
        <v>500000</v>
      </c>
      <c r="I256" s="386">
        <v>500000</v>
      </c>
      <c r="J256" s="386">
        <v>500000</v>
      </c>
      <c r="K256" s="386">
        <v>500000</v>
      </c>
      <c r="L256" s="386">
        <v>500000</v>
      </c>
      <c r="M256" s="386">
        <v>500000</v>
      </c>
      <c r="N256" s="386">
        <v>500000</v>
      </c>
      <c r="O256" s="385">
        <f t="shared" si="188"/>
        <v>6000000</v>
      </c>
      <c r="P256" s="49">
        <f t="shared" si="177"/>
        <v>9.4890510948905105E-2</v>
      </c>
    </row>
    <row r="257" spans="1:16" x14ac:dyDescent="0.35">
      <c r="A257" s="255" t="s">
        <v>710</v>
      </c>
      <c r="B257" s="386">
        <v>4173000</v>
      </c>
      <c r="C257" s="50">
        <v>0</v>
      </c>
      <c r="D257" s="50"/>
      <c r="E257" s="50"/>
      <c r="F257" s="50"/>
      <c r="G257" s="50"/>
      <c r="H257" s="50"/>
      <c r="I257" s="50"/>
      <c r="J257" s="50"/>
      <c r="K257" s="50"/>
      <c r="L257" s="58"/>
      <c r="M257" s="50"/>
      <c r="N257" s="50"/>
      <c r="O257" s="385">
        <f t="shared" si="188"/>
        <v>0</v>
      </c>
      <c r="P257" s="49">
        <f t="shared" si="177"/>
        <v>-1</v>
      </c>
    </row>
    <row r="258" spans="1:16" x14ac:dyDescent="0.35">
      <c r="A258" s="255" t="s">
        <v>775</v>
      </c>
      <c r="B258" s="386">
        <v>1200000</v>
      </c>
      <c r="C258" s="50"/>
      <c r="D258" s="50"/>
      <c r="E258" s="50"/>
      <c r="F258" s="50"/>
      <c r="G258" s="50"/>
      <c r="H258" s="50"/>
      <c r="I258" s="50"/>
      <c r="J258" s="50"/>
      <c r="K258" s="50"/>
      <c r="L258" s="50">
        <v>1250000</v>
      </c>
      <c r="M258" s="50"/>
      <c r="N258" s="50"/>
      <c r="O258" s="416">
        <f t="shared" si="188"/>
        <v>1250000</v>
      </c>
      <c r="P258" s="49">
        <f t="shared" ref="P258:P260" si="197">+(O258-B258)/B258</f>
        <v>4.1666666666666664E-2</v>
      </c>
    </row>
    <row r="259" spans="1:16" x14ac:dyDescent="0.35">
      <c r="A259" s="255" t="s">
        <v>717</v>
      </c>
      <c r="B259" s="386"/>
      <c r="C259" s="50"/>
      <c r="D259" s="50"/>
      <c r="E259" s="50"/>
      <c r="F259" s="386">
        <v>50000</v>
      </c>
      <c r="G259" s="386">
        <v>50000</v>
      </c>
      <c r="H259" s="386">
        <v>50000</v>
      </c>
      <c r="I259" s="386"/>
      <c r="J259" s="386">
        <v>50000</v>
      </c>
      <c r="K259" s="386">
        <v>50000</v>
      </c>
      <c r="L259" s="386">
        <v>50000</v>
      </c>
      <c r="M259" s="50"/>
      <c r="N259" s="50"/>
      <c r="O259" s="385">
        <f t="shared" si="188"/>
        <v>300000</v>
      </c>
      <c r="P259" s="49">
        <v>1</v>
      </c>
    </row>
    <row r="260" spans="1:16" x14ac:dyDescent="0.35">
      <c r="A260" s="255" t="s">
        <v>713</v>
      </c>
      <c r="B260" s="294">
        <v>490500</v>
      </c>
      <c r="C260" s="50"/>
      <c r="D260" s="50"/>
      <c r="E260" s="50"/>
      <c r="F260" s="50"/>
      <c r="G260" s="50"/>
      <c r="H260" s="50">
        <f>ROUND(((+$B$260*$B$62)+$B$260)/1,-3)+3000</f>
        <v>514000</v>
      </c>
      <c r="I260" s="50"/>
      <c r="J260" s="50"/>
      <c r="K260" s="50"/>
      <c r="L260" s="58"/>
      <c r="M260" s="50"/>
      <c r="N260" s="50"/>
      <c r="O260" s="385">
        <f t="shared" ref="O260" si="198">SUM(C260:N260)</f>
        <v>514000</v>
      </c>
      <c r="P260" s="49">
        <f t="shared" si="197"/>
        <v>4.7910295616717634E-2</v>
      </c>
    </row>
    <row r="261" spans="1:16" x14ac:dyDescent="0.35">
      <c r="A261" s="325" t="s">
        <v>776</v>
      </c>
      <c r="B261" s="386">
        <v>3852000</v>
      </c>
      <c r="C261" s="50"/>
      <c r="D261" s="411">
        <f>ROUND(((+$B$261*$B$62)+$B$261)/2,-3)</f>
        <v>2007000</v>
      </c>
      <c r="E261" s="411">
        <f>ROUND(((+$B$261*$B$62)+$B$261)/2,-3)</f>
        <v>2007000</v>
      </c>
      <c r="F261" s="50">
        <v>0</v>
      </c>
      <c r="G261" s="50"/>
      <c r="H261" s="50"/>
      <c r="I261" s="50"/>
      <c r="J261" s="50"/>
      <c r="K261" s="50"/>
      <c r="L261" s="58"/>
      <c r="M261" s="50"/>
      <c r="N261" s="50"/>
      <c r="O261" s="416">
        <f t="shared" si="188"/>
        <v>4014000</v>
      </c>
      <c r="P261" s="49">
        <f t="shared" si="177"/>
        <v>4.2056074766355138E-2</v>
      </c>
    </row>
    <row r="262" spans="1:16" x14ac:dyDescent="0.35">
      <c r="A262" s="325" t="s">
        <v>706</v>
      </c>
      <c r="B262" s="386">
        <v>720000</v>
      </c>
      <c r="C262" s="50"/>
      <c r="D262" s="411">
        <f>ROUND(((+$B$262*$B$62)+$B$262)/2,-3)</f>
        <v>375000</v>
      </c>
      <c r="E262" s="411">
        <f>ROUND(((+$B$262*$B$62)+$B$262)/2,-3)</f>
        <v>375000</v>
      </c>
      <c r="F262" s="50"/>
      <c r="G262" s="50"/>
      <c r="H262" s="50"/>
      <c r="I262" s="50"/>
      <c r="J262" s="50"/>
      <c r="K262" s="50"/>
      <c r="L262" s="58"/>
      <c r="M262" s="50"/>
      <c r="N262" s="50"/>
      <c r="O262" s="416">
        <f t="shared" ref="O262" si="199">SUM(C262:N262)</f>
        <v>750000</v>
      </c>
      <c r="P262" s="49">
        <f t="shared" ref="P262" si="200">+(O262-B262)/B262</f>
        <v>4.1666666666666664E-2</v>
      </c>
    </row>
    <row r="263" spans="1:16" x14ac:dyDescent="0.35">
      <c r="A263" s="325" t="s">
        <v>707</v>
      </c>
      <c r="B263" s="386">
        <v>360000</v>
      </c>
      <c r="C263" s="411">
        <f>ROUND(((+$B$263*$B$62)+$B$263)/4,-3)</f>
        <v>94000</v>
      </c>
      <c r="D263" s="411">
        <f>ROUND(((+$B$263*$B$62)+$B$263)/4,-3)</f>
        <v>94000</v>
      </c>
      <c r="E263" s="411">
        <f>ROUND(((+$B$263*$B$62)+$B$263)/4,-3)</f>
        <v>94000</v>
      </c>
      <c r="F263" s="411">
        <f>ROUND(((+$B$263*$B$62)+$B$263)/4,-3)</f>
        <v>94000</v>
      </c>
      <c r="G263" s="70">
        <v>0</v>
      </c>
      <c r="H263" s="70"/>
      <c r="I263" s="70"/>
      <c r="J263" s="70"/>
      <c r="K263" s="70">
        <v>0</v>
      </c>
      <c r="L263" s="70"/>
      <c r="M263" s="70"/>
      <c r="N263" s="70"/>
      <c r="O263" s="416">
        <f t="shared" si="188"/>
        <v>376000</v>
      </c>
      <c r="P263" s="49">
        <f t="shared" si="177"/>
        <v>4.4444444444444446E-2</v>
      </c>
    </row>
    <row r="264" spans="1:16" x14ac:dyDescent="0.35">
      <c r="A264" s="325" t="s">
        <v>518</v>
      </c>
      <c r="B264" s="386">
        <v>3350000</v>
      </c>
      <c r="C264" s="200">
        <v>0</v>
      </c>
      <c r="D264" s="50"/>
      <c r="E264" s="411">
        <f>ROUND(((+$B$264*$B$62)+$B$264),-3)</f>
        <v>3491000</v>
      </c>
      <c r="F264" s="50">
        <v>0</v>
      </c>
      <c r="G264" s="50"/>
      <c r="H264" s="50"/>
      <c r="I264" s="50"/>
      <c r="J264" s="50"/>
      <c r="K264" s="50"/>
      <c r="L264" s="58"/>
      <c r="M264" s="50"/>
      <c r="N264" s="50"/>
      <c r="O264" s="416">
        <f>SUM(C264:N264)</f>
        <v>3491000</v>
      </c>
      <c r="P264" s="49">
        <f>+(O264-B264)/B264</f>
        <v>4.208955223880597E-2</v>
      </c>
    </row>
    <row r="265" spans="1:16" x14ac:dyDescent="0.35">
      <c r="A265" s="325" t="s">
        <v>705</v>
      </c>
      <c r="B265" s="386">
        <v>678000</v>
      </c>
      <c r="C265" s="200"/>
      <c r="D265" s="50"/>
      <c r="E265" s="411">
        <f>ROUND(((+$B$265*$B$62)+$B$265)/3,-3)</f>
        <v>235000</v>
      </c>
      <c r="F265" s="411">
        <f>ROUND(((+$B$265*$B$62)+$B$265)/3,-3)</f>
        <v>235000</v>
      </c>
      <c r="G265" s="411"/>
      <c r="H265" s="411">
        <f>ROUND(((+$B$265*$B$62)+$B$265)/3,-3)</f>
        <v>235000</v>
      </c>
      <c r="I265" s="50"/>
      <c r="J265" s="50"/>
      <c r="K265" s="50">
        <v>0</v>
      </c>
      <c r="L265" s="58"/>
      <c r="M265" s="50"/>
      <c r="N265" s="50"/>
      <c r="O265" s="416">
        <f>SUM(C265:N265)</f>
        <v>705000</v>
      </c>
      <c r="P265" s="49">
        <f>+(O265-B265)/B265</f>
        <v>3.9823008849557522E-2</v>
      </c>
    </row>
    <row r="266" spans="1:16" x14ac:dyDescent="0.35">
      <c r="A266" s="255" t="s">
        <v>774</v>
      </c>
      <c r="B266" s="386"/>
      <c r="C266" s="50"/>
      <c r="D266" s="50">
        <v>0</v>
      </c>
      <c r="E266" s="50">
        <v>0</v>
      </c>
      <c r="F266" s="417">
        <v>100000</v>
      </c>
      <c r="G266" s="50">
        <v>0</v>
      </c>
      <c r="H266" s="50"/>
      <c r="I266" s="50"/>
      <c r="J266" s="50"/>
      <c r="K266" s="417">
        <v>35000</v>
      </c>
      <c r="L266" s="417">
        <v>35000</v>
      </c>
      <c r="M266" s="417">
        <v>100000</v>
      </c>
      <c r="N266" s="50"/>
      <c r="O266" s="416">
        <f>SUM(C266:N266)</f>
        <v>270000</v>
      </c>
      <c r="P266" s="49">
        <v>1</v>
      </c>
    </row>
    <row r="267" spans="1:16" x14ac:dyDescent="0.35">
      <c r="A267" s="255" t="s">
        <v>708</v>
      </c>
      <c r="B267" s="386">
        <v>800000</v>
      </c>
      <c r="C267" s="200"/>
      <c r="D267" s="50"/>
      <c r="E267" s="50"/>
      <c r="F267" s="50"/>
      <c r="G267" s="50"/>
      <c r="H267" s="50"/>
      <c r="I267" s="50"/>
      <c r="J267" s="50"/>
      <c r="K267" s="50"/>
      <c r="L267" s="58"/>
      <c r="M267" s="50"/>
      <c r="N267" s="50"/>
      <c r="O267" s="385">
        <f>SUM(C267:N267)</f>
        <v>0</v>
      </c>
      <c r="P267" s="49">
        <v>0</v>
      </c>
    </row>
    <row r="268" spans="1:16" x14ac:dyDescent="0.35">
      <c r="A268" s="255" t="s">
        <v>727</v>
      </c>
      <c r="B268" s="294">
        <v>320000</v>
      </c>
      <c r="C268" s="50">
        <v>60000</v>
      </c>
      <c r="D268" s="50">
        <v>60000</v>
      </c>
      <c r="E268" s="50">
        <v>60000</v>
      </c>
      <c r="F268" s="50">
        <v>60000</v>
      </c>
      <c r="G268" s="50">
        <v>60000</v>
      </c>
      <c r="H268" s="50">
        <v>60000</v>
      </c>
      <c r="I268" s="50">
        <v>60000</v>
      </c>
      <c r="J268" s="50">
        <v>60000</v>
      </c>
      <c r="K268" s="50">
        <v>60000</v>
      </c>
      <c r="L268" s="50">
        <v>60000</v>
      </c>
      <c r="M268" s="50">
        <v>60000</v>
      </c>
      <c r="N268" s="50">
        <v>60000</v>
      </c>
      <c r="O268" s="385">
        <f>SUM(C268:N268)</f>
        <v>720000</v>
      </c>
      <c r="P268" s="49">
        <f t="shared" si="177"/>
        <v>1.25</v>
      </c>
    </row>
    <row r="269" spans="1:16" x14ac:dyDescent="0.35">
      <c r="A269" s="255" t="s">
        <v>718</v>
      </c>
      <c r="B269" s="386">
        <v>0</v>
      </c>
      <c r="C269" s="50">
        <v>0</v>
      </c>
      <c r="D269" s="50">
        <v>0</v>
      </c>
      <c r="E269" s="386">
        <v>715000</v>
      </c>
      <c r="F269" s="50">
        <v>0</v>
      </c>
      <c r="G269" s="50">
        <v>0</v>
      </c>
      <c r="H269" s="386">
        <v>715000</v>
      </c>
      <c r="I269" s="50">
        <v>0</v>
      </c>
      <c r="J269" s="50">
        <v>0</v>
      </c>
      <c r="K269" s="386">
        <v>715000</v>
      </c>
      <c r="L269" s="50">
        <v>0</v>
      </c>
      <c r="M269" s="50">
        <v>0</v>
      </c>
      <c r="N269" s="50">
        <v>0</v>
      </c>
      <c r="O269" s="385">
        <f t="shared" ref="O269" si="201">SUM(C269:N269)</f>
        <v>2145000</v>
      </c>
      <c r="P269" s="49">
        <v>1</v>
      </c>
    </row>
    <row r="270" spans="1:16" x14ac:dyDescent="0.35">
      <c r="A270" s="256" t="s">
        <v>436</v>
      </c>
      <c r="B270" s="294">
        <v>930000</v>
      </c>
      <c r="C270" s="50"/>
      <c r="D270" s="50"/>
      <c r="E270" s="50"/>
      <c r="F270" s="50"/>
      <c r="G270" s="50"/>
      <c r="H270" s="50"/>
      <c r="I270" s="70">
        <v>0</v>
      </c>
      <c r="J270" s="50">
        <v>680000</v>
      </c>
      <c r="K270" s="50">
        <v>150000</v>
      </c>
      <c r="L270" s="50">
        <v>150000</v>
      </c>
      <c r="M270" s="70">
        <v>0</v>
      </c>
      <c r="N270" s="70">
        <v>0</v>
      </c>
      <c r="O270" s="416">
        <f t="shared" si="188"/>
        <v>980000</v>
      </c>
      <c r="P270" s="49">
        <f t="shared" si="177"/>
        <v>5.3763440860215055E-2</v>
      </c>
    </row>
    <row r="271" spans="1:16" x14ac:dyDescent="0.35">
      <c r="A271" s="256" t="s">
        <v>437</v>
      </c>
      <c r="B271" s="294">
        <v>4750000</v>
      </c>
      <c r="C271" s="50"/>
      <c r="D271" s="50"/>
      <c r="E271" s="50"/>
      <c r="F271" s="50"/>
      <c r="G271" s="50"/>
      <c r="H271" s="50"/>
      <c r="I271" s="70"/>
      <c r="J271" s="50">
        <v>2084000</v>
      </c>
      <c r="K271" s="50">
        <v>1433000</v>
      </c>
      <c r="L271" s="50">
        <v>1433000</v>
      </c>
      <c r="M271" s="70"/>
      <c r="N271" s="50">
        <v>0</v>
      </c>
      <c r="O271" s="416">
        <f t="shared" si="188"/>
        <v>4950000</v>
      </c>
      <c r="P271" s="49">
        <f t="shared" si="177"/>
        <v>4.2105263157894736E-2</v>
      </c>
    </row>
    <row r="272" spans="1:16" x14ac:dyDescent="0.35">
      <c r="A272" s="256" t="s">
        <v>462</v>
      </c>
      <c r="B272" s="294">
        <v>60000</v>
      </c>
      <c r="C272" s="50"/>
      <c r="D272" s="50"/>
      <c r="E272" s="50"/>
      <c r="F272" s="50"/>
      <c r="G272" s="50"/>
      <c r="H272" s="50"/>
      <c r="I272" s="70"/>
      <c r="J272" s="32"/>
      <c r="K272" s="50">
        <f>ROUND(((+$B$272*$B$62)+$B$272)/2,-3)</f>
        <v>31000</v>
      </c>
      <c r="L272" s="50">
        <f>ROUND(((+$B$272*$B$62)+$B$272)/2,-3)</f>
        <v>31000</v>
      </c>
      <c r="M272" s="70"/>
      <c r="N272" s="50"/>
      <c r="O272" s="416">
        <f t="shared" si="188"/>
        <v>62000</v>
      </c>
      <c r="P272" s="49">
        <f t="shared" si="177"/>
        <v>3.3333333333333333E-2</v>
      </c>
    </row>
    <row r="273" spans="1:16" x14ac:dyDescent="0.35">
      <c r="A273" s="254" t="s">
        <v>714</v>
      </c>
      <c r="B273" s="324">
        <v>1876000</v>
      </c>
      <c r="C273" s="50"/>
      <c r="D273" s="50"/>
      <c r="E273" s="50"/>
      <c r="F273" s="50"/>
      <c r="G273" s="50"/>
      <c r="H273" s="50"/>
      <c r="I273" s="70"/>
      <c r="J273" s="32"/>
      <c r="K273" s="50">
        <v>3600000</v>
      </c>
      <c r="L273" s="50"/>
      <c r="M273" s="70"/>
      <c r="N273" s="50"/>
      <c r="O273" s="385">
        <f t="shared" si="188"/>
        <v>3600000</v>
      </c>
      <c r="P273" s="49">
        <f t="shared" si="177"/>
        <v>0.91897654584221744</v>
      </c>
    </row>
    <row r="274" spans="1:16" x14ac:dyDescent="0.35">
      <c r="A274" s="254" t="s">
        <v>537</v>
      </c>
      <c r="B274" s="294">
        <v>250000</v>
      </c>
      <c r="C274" s="50"/>
      <c r="D274" s="50">
        <v>300000</v>
      </c>
      <c r="E274" s="50"/>
      <c r="F274" s="50"/>
      <c r="G274" s="50"/>
      <c r="H274" s="50"/>
      <c r="I274" s="70"/>
      <c r="J274" s="70"/>
      <c r="K274" s="70"/>
      <c r="L274" s="70"/>
      <c r="M274" s="70"/>
      <c r="N274" s="50"/>
      <c r="O274" s="385">
        <f t="shared" ref="O274" si="202">SUM(C274:N274)</f>
        <v>300000</v>
      </c>
      <c r="P274" s="49">
        <f t="shared" si="177"/>
        <v>0.2</v>
      </c>
    </row>
    <row r="275" spans="1:16" x14ac:dyDescent="0.35">
      <c r="A275" s="29" t="s">
        <v>48</v>
      </c>
      <c r="B275" s="300">
        <f>+B276</f>
        <v>30000</v>
      </c>
      <c r="C275" s="30">
        <f>+C276</f>
        <v>10000</v>
      </c>
      <c r="D275" s="30">
        <f t="shared" ref="D275:O275" si="203">+D276</f>
        <v>10000</v>
      </c>
      <c r="E275" s="30">
        <f t="shared" si="203"/>
        <v>6000</v>
      </c>
      <c r="F275" s="30">
        <f t="shared" si="203"/>
        <v>10000</v>
      </c>
      <c r="G275" s="30">
        <f t="shared" si="203"/>
        <v>10000</v>
      </c>
      <c r="H275" s="30">
        <f t="shared" si="203"/>
        <v>10000</v>
      </c>
      <c r="I275" s="30">
        <f t="shared" si="203"/>
        <v>10000</v>
      </c>
      <c r="J275" s="30">
        <f t="shared" si="203"/>
        <v>0</v>
      </c>
      <c r="K275" s="30">
        <f t="shared" si="203"/>
        <v>10000</v>
      </c>
      <c r="L275" s="30">
        <f t="shared" si="203"/>
        <v>10000</v>
      </c>
      <c r="M275" s="30">
        <f t="shared" si="203"/>
        <v>0</v>
      </c>
      <c r="N275" s="30">
        <f t="shared" si="203"/>
        <v>0</v>
      </c>
      <c r="O275" s="387">
        <f t="shared" si="203"/>
        <v>86000</v>
      </c>
      <c r="P275" s="49">
        <f t="shared" si="177"/>
        <v>1.8666666666666667</v>
      </c>
    </row>
    <row r="276" spans="1:16" x14ac:dyDescent="0.35">
      <c r="A276" s="154" t="s">
        <v>451</v>
      </c>
      <c r="B276" s="294">
        <v>30000</v>
      </c>
      <c r="C276" s="50">
        <v>10000</v>
      </c>
      <c r="D276" s="50">
        <v>10000</v>
      </c>
      <c r="E276" s="50">
        <f>ROUND(((+$B$276*$B$62)+$B$276)/5,-3)</f>
        <v>6000</v>
      </c>
      <c r="F276" s="50">
        <v>10000</v>
      </c>
      <c r="G276" s="50">
        <v>10000</v>
      </c>
      <c r="H276" s="50">
        <v>10000</v>
      </c>
      <c r="I276" s="50">
        <v>10000</v>
      </c>
      <c r="J276" s="58"/>
      <c r="K276" s="50">
        <v>10000</v>
      </c>
      <c r="L276" s="50">
        <v>10000</v>
      </c>
      <c r="M276" s="58"/>
      <c r="N276" s="58"/>
      <c r="O276" s="385">
        <f t="shared" ref="O276" si="204">SUM(C276:N276)</f>
        <v>86000</v>
      </c>
      <c r="P276" s="49">
        <f t="shared" si="177"/>
        <v>1.8666666666666667</v>
      </c>
    </row>
    <row r="277" spans="1:16" s="31" customFormat="1" x14ac:dyDescent="0.35">
      <c r="A277" s="29" t="s">
        <v>50</v>
      </c>
      <c r="B277" s="300">
        <f t="shared" ref="B277:O277" si="205">+B278+B289+B292+B301+B313</f>
        <v>87469400</v>
      </c>
      <c r="C277" s="30">
        <f t="shared" si="205"/>
        <v>8061900</v>
      </c>
      <c r="D277" s="30">
        <f t="shared" si="205"/>
        <v>6886660</v>
      </c>
      <c r="E277" s="30">
        <f t="shared" si="205"/>
        <v>7751200</v>
      </c>
      <c r="F277" s="30">
        <f t="shared" si="205"/>
        <v>6881200</v>
      </c>
      <c r="G277" s="30">
        <f t="shared" si="205"/>
        <v>5198600</v>
      </c>
      <c r="H277" s="30">
        <f t="shared" si="205"/>
        <v>4389920</v>
      </c>
      <c r="I277" s="30">
        <f t="shared" si="205"/>
        <v>6715000</v>
      </c>
      <c r="J277" s="30">
        <f t="shared" si="205"/>
        <v>2160937</v>
      </c>
      <c r="K277" s="30">
        <f t="shared" si="205"/>
        <v>17227000</v>
      </c>
      <c r="L277" s="30">
        <f t="shared" si="205"/>
        <v>1363000</v>
      </c>
      <c r="M277" s="30">
        <f t="shared" si="205"/>
        <v>6268800</v>
      </c>
      <c r="N277" s="30">
        <f t="shared" si="205"/>
        <v>792720</v>
      </c>
      <c r="O277" s="387">
        <f t="shared" si="205"/>
        <v>73696937</v>
      </c>
      <c r="P277" s="49">
        <f t="shared" ref="P277:P288" si="206">+(O277-B277)/B277</f>
        <v>-0.15745464128026487</v>
      </c>
    </row>
    <row r="278" spans="1:16" s="31" customFormat="1" x14ac:dyDescent="0.35">
      <c r="A278" s="29" t="s">
        <v>51</v>
      </c>
      <c r="B278" s="300">
        <f t="shared" ref="B278:O278" si="207">+SUM(B279:B288)</f>
        <v>50000000</v>
      </c>
      <c r="C278" s="30">
        <f t="shared" si="207"/>
        <v>507700</v>
      </c>
      <c r="D278" s="30">
        <f t="shared" si="207"/>
        <v>716000</v>
      </c>
      <c r="E278" s="30">
        <f t="shared" si="207"/>
        <v>2522000</v>
      </c>
      <c r="F278" s="30">
        <f t="shared" si="207"/>
        <v>4178000</v>
      </c>
      <c r="G278" s="30">
        <f t="shared" si="207"/>
        <v>143000</v>
      </c>
      <c r="H278" s="30">
        <f t="shared" si="207"/>
        <v>2532720</v>
      </c>
      <c r="I278" s="30">
        <f t="shared" si="207"/>
        <v>922000</v>
      </c>
      <c r="J278" s="30">
        <f t="shared" si="207"/>
        <v>143000</v>
      </c>
      <c r="K278" s="30">
        <f t="shared" si="207"/>
        <v>12366000</v>
      </c>
      <c r="L278" s="30">
        <f t="shared" si="207"/>
        <v>349000</v>
      </c>
      <c r="M278" s="30">
        <f t="shared" si="207"/>
        <v>143000</v>
      </c>
      <c r="N278" s="30">
        <f t="shared" si="207"/>
        <v>309720</v>
      </c>
      <c r="O278" s="387">
        <f t="shared" si="207"/>
        <v>24832140</v>
      </c>
      <c r="P278" s="49">
        <f t="shared" si="206"/>
        <v>-0.50335719999999995</v>
      </c>
    </row>
    <row r="279" spans="1:16" x14ac:dyDescent="0.35">
      <c r="A279" s="154" t="s">
        <v>686</v>
      </c>
      <c r="B279" s="294">
        <v>4360000</v>
      </c>
      <c r="C279" s="50">
        <v>0</v>
      </c>
      <c r="D279" s="50"/>
      <c r="E279" s="50">
        <v>0</v>
      </c>
      <c r="F279" s="50"/>
      <c r="G279" s="50">
        <v>0</v>
      </c>
      <c r="H279" s="50"/>
      <c r="I279" s="50"/>
      <c r="J279" s="50">
        <v>0</v>
      </c>
      <c r="K279" s="50"/>
      <c r="L279" s="50"/>
      <c r="M279" s="50"/>
      <c r="N279" s="50"/>
      <c r="O279" s="385">
        <f t="shared" ref="O279:O312" si="208">SUM(C279:N279)</f>
        <v>0</v>
      </c>
      <c r="P279" s="49">
        <v>0</v>
      </c>
    </row>
    <row r="280" spans="1:16" x14ac:dyDescent="0.35">
      <c r="A280" s="154" t="s">
        <v>221</v>
      </c>
      <c r="B280" s="294">
        <v>0</v>
      </c>
      <c r="C280" s="50"/>
      <c r="D280" s="58"/>
      <c r="E280" s="50"/>
      <c r="F280" s="50"/>
      <c r="G280" s="50">
        <v>0</v>
      </c>
      <c r="H280" s="50"/>
      <c r="I280" s="50"/>
      <c r="J280" s="50"/>
      <c r="K280" s="50">
        <v>10000000</v>
      </c>
      <c r="L280" s="50"/>
      <c r="M280" s="50"/>
      <c r="N280" s="50"/>
      <c r="O280" s="385">
        <f t="shared" si="208"/>
        <v>10000000</v>
      </c>
      <c r="P280" s="49">
        <v>1</v>
      </c>
    </row>
    <row r="281" spans="1:16" x14ac:dyDescent="0.35">
      <c r="A281" s="154" t="s">
        <v>409</v>
      </c>
      <c r="B281" s="294">
        <v>25000000</v>
      </c>
      <c r="C281" s="50"/>
      <c r="D281" s="58"/>
      <c r="E281" s="50"/>
      <c r="F281" s="50">
        <v>0</v>
      </c>
      <c r="G281" s="50">
        <v>0</v>
      </c>
      <c r="H281" s="50"/>
      <c r="I281" s="50"/>
      <c r="J281" s="50"/>
      <c r="K281" s="50">
        <v>0</v>
      </c>
      <c r="L281" s="50"/>
      <c r="M281" s="50"/>
      <c r="N281" s="50"/>
      <c r="O281" s="385">
        <f t="shared" si="208"/>
        <v>0</v>
      </c>
      <c r="P281" s="49">
        <v>1</v>
      </c>
    </row>
    <row r="282" spans="1:16" x14ac:dyDescent="0.35">
      <c r="A282" s="154" t="s">
        <v>687</v>
      </c>
      <c r="B282" s="294">
        <f>6100000+300000</f>
        <v>6400000</v>
      </c>
      <c r="C282" s="50"/>
      <c r="D282" s="58"/>
      <c r="E282" s="50">
        <f>ROUND(((+$B$282*$B$62)+$B$282)/3,-3)</f>
        <v>2223000</v>
      </c>
      <c r="F282" s="50"/>
      <c r="G282" s="50"/>
      <c r="H282" s="50">
        <f>ROUND(((+$B$282*$B$62)+$B$282)/3,-3)</f>
        <v>2223000</v>
      </c>
      <c r="I282" s="50"/>
      <c r="J282" s="50"/>
      <c r="K282" s="50">
        <f>ROUND(((+$B$282*$B$62)+$B$282)/3,-3)</f>
        <v>2223000</v>
      </c>
      <c r="L282" s="50"/>
      <c r="M282" s="50"/>
      <c r="N282" s="50"/>
      <c r="O282" s="385">
        <f t="shared" si="208"/>
        <v>6669000</v>
      </c>
      <c r="P282" s="49">
        <f t="shared" si="206"/>
        <v>4.2031249999999999E-2</v>
      </c>
    </row>
    <row r="283" spans="1:16" x14ac:dyDescent="0.35">
      <c r="A283" s="154" t="s">
        <v>124</v>
      </c>
      <c r="B283" s="294">
        <v>1100000</v>
      </c>
      <c r="C283" s="50"/>
      <c r="D283" s="50">
        <f>ROUND(((+$B$283*$B$62)+$B$283)/2,-3)</f>
        <v>573000</v>
      </c>
      <c r="E283" s="50"/>
      <c r="F283" s="50"/>
      <c r="G283" s="50"/>
      <c r="H283" s="50"/>
      <c r="I283" s="50">
        <f>ROUND(((+$B$283*$B$62)+$B$283)/2,-3)</f>
        <v>573000</v>
      </c>
      <c r="J283" s="50"/>
      <c r="K283" s="50"/>
      <c r="L283" s="50"/>
      <c r="M283" s="50"/>
      <c r="N283" s="50"/>
      <c r="O283" s="385">
        <f t="shared" si="208"/>
        <v>1146000</v>
      </c>
      <c r="P283" s="49">
        <f t="shared" si="206"/>
        <v>4.1818181818181817E-2</v>
      </c>
    </row>
    <row r="284" spans="1:16" x14ac:dyDescent="0.35">
      <c r="A284" s="154" t="s">
        <v>237</v>
      </c>
      <c r="B284" s="294">
        <v>450000</v>
      </c>
      <c r="C284" s="50">
        <v>0</v>
      </c>
      <c r="D284" s="58"/>
      <c r="E284" s="50">
        <f>ROUND(((+$B$284*$B$62)+$B$284)/3,-3)</f>
        <v>156000</v>
      </c>
      <c r="F284" s="50">
        <v>0</v>
      </c>
      <c r="G284" s="50">
        <v>0</v>
      </c>
      <c r="H284" s="50"/>
      <c r="I284" s="50">
        <f>ROUND(((+$B$284*$B$62)+$B$284)/3,-3)</f>
        <v>156000</v>
      </c>
      <c r="J284" s="50"/>
      <c r="K284" s="50"/>
      <c r="L284" s="50">
        <f>ROUND(((+$B$284*$B$62)+$B$284)/3,-3)</f>
        <v>156000</v>
      </c>
      <c r="M284" s="50"/>
      <c r="N284" s="50"/>
      <c r="O284" s="385">
        <f t="shared" si="208"/>
        <v>468000</v>
      </c>
      <c r="P284" s="49">
        <f t="shared" si="206"/>
        <v>0.04</v>
      </c>
    </row>
    <row r="285" spans="1:16" x14ac:dyDescent="0.35">
      <c r="A285" s="154" t="s">
        <v>460</v>
      </c>
      <c r="B285" s="294">
        <f>480000+160000</f>
        <v>640000</v>
      </c>
      <c r="C285" s="50">
        <v>364700</v>
      </c>
      <c r="D285" s="50">
        <v>0</v>
      </c>
      <c r="E285" s="70">
        <v>0</v>
      </c>
      <c r="F285" s="50">
        <v>50000</v>
      </c>
      <c r="G285" s="70">
        <v>0</v>
      </c>
      <c r="H285" s="50">
        <v>166720</v>
      </c>
      <c r="I285" s="50">
        <v>50000</v>
      </c>
      <c r="J285" s="70">
        <v>0</v>
      </c>
      <c r="K285" s="70">
        <v>0</v>
      </c>
      <c r="L285" s="50">
        <v>50000</v>
      </c>
      <c r="M285" s="70">
        <v>0</v>
      </c>
      <c r="N285" s="50">
        <v>166720</v>
      </c>
      <c r="O285" s="385">
        <f t="shared" ref="O285" si="209">SUM(C285:N285)</f>
        <v>848140</v>
      </c>
      <c r="P285" s="49">
        <f t="shared" si="206"/>
        <v>0.32521875</v>
      </c>
    </row>
    <row r="286" spans="1:16" x14ac:dyDescent="0.35">
      <c r="A286" s="154" t="s">
        <v>440</v>
      </c>
      <c r="B286" s="294">
        <v>7000000</v>
      </c>
      <c r="C286" s="50"/>
      <c r="D286" s="5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385">
        <f t="shared" si="208"/>
        <v>0</v>
      </c>
      <c r="P286" s="49">
        <v>0</v>
      </c>
    </row>
    <row r="287" spans="1:16" x14ac:dyDescent="0.35">
      <c r="A287" s="154" t="s">
        <v>52</v>
      </c>
      <c r="B287" s="294">
        <v>1650000</v>
      </c>
      <c r="C287" s="50">
        <f t="shared" ref="C287:N287" si="210">ROUND(((+$B$287*$B$62)+$B$287)/12,-3)</f>
        <v>143000</v>
      </c>
      <c r="D287" s="50">
        <f t="shared" si="210"/>
        <v>143000</v>
      </c>
      <c r="E287" s="50">
        <f t="shared" si="210"/>
        <v>143000</v>
      </c>
      <c r="F287" s="50">
        <f t="shared" si="210"/>
        <v>143000</v>
      </c>
      <c r="G287" s="50">
        <f t="shared" si="210"/>
        <v>143000</v>
      </c>
      <c r="H287" s="50">
        <f t="shared" si="210"/>
        <v>143000</v>
      </c>
      <c r="I287" s="50">
        <f t="shared" si="210"/>
        <v>143000</v>
      </c>
      <c r="J287" s="50">
        <f t="shared" si="210"/>
        <v>143000</v>
      </c>
      <c r="K287" s="50">
        <f t="shared" si="210"/>
        <v>143000</v>
      </c>
      <c r="L287" s="50">
        <f t="shared" si="210"/>
        <v>143000</v>
      </c>
      <c r="M287" s="50">
        <f t="shared" si="210"/>
        <v>143000</v>
      </c>
      <c r="N287" s="50">
        <f t="shared" si="210"/>
        <v>143000</v>
      </c>
      <c r="O287" s="385">
        <f t="shared" si="208"/>
        <v>1716000</v>
      </c>
      <c r="P287" s="49">
        <f t="shared" si="206"/>
        <v>0.04</v>
      </c>
    </row>
    <row r="288" spans="1:16" s="66" customFormat="1" x14ac:dyDescent="0.35">
      <c r="A288" s="253" t="s">
        <v>688</v>
      </c>
      <c r="B288" s="316">
        <v>3400000</v>
      </c>
      <c r="C288" s="64"/>
      <c r="D288" s="68"/>
      <c r="E288" s="64">
        <v>0</v>
      </c>
      <c r="F288" s="64">
        <v>3985000</v>
      </c>
      <c r="G288" s="65"/>
      <c r="H288" s="65"/>
      <c r="I288" s="64"/>
      <c r="J288" s="65"/>
      <c r="K288" s="65"/>
      <c r="L288" s="65"/>
      <c r="M288" s="64"/>
      <c r="N288" s="65"/>
      <c r="O288" s="385">
        <f t="shared" si="208"/>
        <v>3985000</v>
      </c>
      <c r="P288" s="49">
        <f t="shared" si="206"/>
        <v>0.17205882352941176</v>
      </c>
    </row>
    <row r="289" spans="1:16" s="66" customFormat="1" x14ac:dyDescent="0.35">
      <c r="A289" s="257" t="s">
        <v>238</v>
      </c>
      <c r="B289" s="318">
        <f>+SUM(B290:B291)</f>
        <v>1984000</v>
      </c>
      <c r="C289" s="241">
        <f>+SUM(C290:C291)</f>
        <v>172000</v>
      </c>
      <c r="D289" s="241">
        <f t="shared" ref="D289:O289" si="211">+SUM(D290:D291)</f>
        <v>172000</v>
      </c>
      <c r="E289" s="241">
        <f t="shared" si="211"/>
        <v>172000</v>
      </c>
      <c r="F289" s="241">
        <f t="shared" si="211"/>
        <v>172000</v>
      </c>
      <c r="G289" s="241">
        <f t="shared" si="211"/>
        <v>672000</v>
      </c>
      <c r="H289" s="241">
        <f t="shared" si="211"/>
        <v>172000</v>
      </c>
      <c r="I289" s="241">
        <f t="shared" si="211"/>
        <v>172000</v>
      </c>
      <c r="J289" s="241">
        <f t="shared" si="211"/>
        <v>172000</v>
      </c>
      <c r="K289" s="241">
        <f t="shared" si="211"/>
        <v>172000</v>
      </c>
      <c r="L289" s="241">
        <f t="shared" si="211"/>
        <v>172000</v>
      </c>
      <c r="M289" s="241">
        <f t="shared" si="211"/>
        <v>172000</v>
      </c>
      <c r="N289" s="241">
        <f t="shared" si="211"/>
        <v>172000</v>
      </c>
      <c r="O289" s="387">
        <f t="shared" si="211"/>
        <v>2564000</v>
      </c>
      <c r="P289" s="49">
        <f t="shared" ref="P289" si="212">+(O289-B289)/B289</f>
        <v>0.29233870967741937</v>
      </c>
    </row>
    <row r="290" spans="1:16" s="66" customFormat="1" x14ac:dyDescent="0.35">
      <c r="A290" s="253" t="s">
        <v>239</v>
      </c>
      <c r="B290" s="316">
        <v>1984000</v>
      </c>
      <c r="C290" s="50">
        <f t="shared" ref="C290:N290" si="213">ROUND(((+$B$290*$B$62)+$B$290)/12,-3)</f>
        <v>172000</v>
      </c>
      <c r="D290" s="50">
        <f t="shared" si="213"/>
        <v>172000</v>
      </c>
      <c r="E290" s="50">
        <f t="shared" si="213"/>
        <v>172000</v>
      </c>
      <c r="F290" s="50">
        <f t="shared" si="213"/>
        <v>172000</v>
      </c>
      <c r="G290" s="50">
        <f t="shared" si="213"/>
        <v>172000</v>
      </c>
      <c r="H290" s="50">
        <f t="shared" si="213"/>
        <v>172000</v>
      </c>
      <c r="I290" s="50">
        <f t="shared" si="213"/>
        <v>172000</v>
      </c>
      <c r="J290" s="50">
        <f t="shared" si="213"/>
        <v>172000</v>
      </c>
      <c r="K290" s="50">
        <f t="shared" si="213"/>
        <v>172000</v>
      </c>
      <c r="L290" s="50">
        <f t="shared" si="213"/>
        <v>172000</v>
      </c>
      <c r="M290" s="50">
        <f t="shared" si="213"/>
        <v>172000</v>
      </c>
      <c r="N290" s="50">
        <f t="shared" si="213"/>
        <v>172000</v>
      </c>
      <c r="O290" s="385">
        <f t="shared" si="208"/>
        <v>2064000</v>
      </c>
      <c r="P290" s="49">
        <f t="shared" ref="P290" si="214">+(O290-B290)/B290</f>
        <v>4.0322580645161289E-2</v>
      </c>
    </row>
    <row r="291" spans="1:16" s="66" customFormat="1" x14ac:dyDescent="0.35">
      <c r="A291" s="253" t="s">
        <v>519</v>
      </c>
      <c r="B291" s="316">
        <v>0</v>
      </c>
      <c r="C291" s="50">
        <v>0</v>
      </c>
      <c r="D291" s="50">
        <v>0</v>
      </c>
      <c r="E291" s="50">
        <v>0</v>
      </c>
      <c r="F291" s="50">
        <v>0</v>
      </c>
      <c r="G291" s="50">
        <v>500000</v>
      </c>
      <c r="H291" s="50">
        <v>0</v>
      </c>
      <c r="I291" s="50">
        <f>ROUND(((+$B$291*$B$62)+$B$291),-3)</f>
        <v>0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385">
        <f t="shared" si="208"/>
        <v>500000</v>
      </c>
      <c r="P291" s="49">
        <v>1</v>
      </c>
    </row>
    <row r="292" spans="1:16" s="31" customFormat="1" x14ac:dyDescent="0.35">
      <c r="A292" s="29" t="s">
        <v>53</v>
      </c>
      <c r="B292" s="300">
        <f t="shared" ref="B292:O292" si="215">SUM(B293:B300)</f>
        <v>15355400</v>
      </c>
      <c r="C292" s="30">
        <f t="shared" si="215"/>
        <v>1550000</v>
      </c>
      <c r="D292" s="30">
        <f t="shared" si="215"/>
        <v>1908000</v>
      </c>
      <c r="E292" s="30">
        <f t="shared" si="215"/>
        <v>2231000</v>
      </c>
      <c r="F292" s="30">
        <f t="shared" si="215"/>
        <v>771000</v>
      </c>
      <c r="G292" s="30">
        <f t="shared" si="215"/>
        <v>1550000</v>
      </c>
      <c r="H292" s="30">
        <f t="shared" si="215"/>
        <v>1110000</v>
      </c>
      <c r="I292" s="30">
        <f t="shared" si="215"/>
        <v>2582000</v>
      </c>
      <c r="J292" s="30">
        <f t="shared" si="215"/>
        <v>0</v>
      </c>
      <c r="K292" s="30">
        <f t="shared" si="215"/>
        <v>2321000</v>
      </c>
      <c r="L292" s="30">
        <f t="shared" si="215"/>
        <v>681000</v>
      </c>
      <c r="M292" s="30">
        <f t="shared" si="215"/>
        <v>1550000</v>
      </c>
      <c r="N292" s="30">
        <f t="shared" si="215"/>
        <v>0</v>
      </c>
      <c r="O292" s="387">
        <f t="shared" si="215"/>
        <v>16254000</v>
      </c>
      <c r="P292" s="49">
        <f t="shared" ref="P292:P314" si="216">+(O292-B292)/B292</f>
        <v>5.8520129726350338E-2</v>
      </c>
    </row>
    <row r="293" spans="1:16" x14ac:dyDescent="0.35">
      <c r="A293" s="258" t="s">
        <v>438</v>
      </c>
      <c r="B293" s="294">
        <v>7662000</v>
      </c>
      <c r="C293" s="50">
        <f>ROUND(((+$B$293*$B$62)+$B$293)/6,-3)</f>
        <v>1331000</v>
      </c>
      <c r="D293" s="58"/>
      <c r="E293" s="50">
        <f>ROUND(((+$B$293*$B$62)+$B$293)/6,-3)</f>
        <v>1331000</v>
      </c>
      <c r="F293" s="50"/>
      <c r="G293" s="50">
        <f>ROUND(((+$B$293*$B$62)+$B$293)/6,-3)</f>
        <v>1331000</v>
      </c>
      <c r="H293" s="58"/>
      <c r="I293" s="50">
        <f>ROUND(((+$B$293*$B$62)+$B$293)/6,-3)</f>
        <v>1331000</v>
      </c>
      <c r="J293" s="58"/>
      <c r="K293" s="50">
        <f>ROUND(((+$B$293*$B$62)+$B$293)/6,-3)</f>
        <v>1331000</v>
      </c>
      <c r="L293" s="50"/>
      <c r="M293" s="50">
        <f>ROUND(((+$B$293*$B$62)+$B$293)/6,-3)</f>
        <v>1331000</v>
      </c>
      <c r="N293" s="58"/>
      <c r="O293" s="385">
        <f t="shared" si="208"/>
        <v>7986000</v>
      </c>
      <c r="P293" s="49">
        <f t="shared" si="216"/>
        <v>4.2286609240407204E-2</v>
      </c>
    </row>
    <row r="294" spans="1:16" x14ac:dyDescent="0.35">
      <c r="A294" s="258" t="s">
        <v>689</v>
      </c>
      <c r="B294" s="294">
        <v>1831000</v>
      </c>
      <c r="C294" s="50"/>
      <c r="D294" s="50">
        <f>ROUND(((+$B$294*$B$62)+$B$294)/1,-3)</f>
        <v>1908000</v>
      </c>
      <c r="E294" s="50"/>
      <c r="F294" s="50"/>
      <c r="G294" s="50"/>
      <c r="H294" s="58"/>
      <c r="I294" s="50"/>
      <c r="J294" s="58"/>
      <c r="K294" s="50"/>
      <c r="L294" s="50"/>
      <c r="M294" s="50"/>
      <c r="N294" s="58"/>
      <c r="O294" s="385">
        <f t="shared" si="208"/>
        <v>1908000</v>
      </c>
      <c r="P294" s="49">
        <f t="shared" si="216"/>
        <v>4.2053522665210265E-2</v>
      </c>
    </row>
    <row r="295" spans="1:16" x14ac:dyDescent="0.35">
      <c r="A295" s="258" t="s">
        <v>690</v>
      </c>
      <c r="B295" s="294">
        <v>1260000</v>
      </c>
      <c r="C295" s="50">
        <f>ROUND(((+$B$295*$B$62)+$B$295)/6,-3)</f>
        <v>219000</v>
      </c>
      <c r="D295" s="58"/>
      <c r="E295" s="50">
        <f>ROUND(((+$B$295*$B$62)+$B$295)/6,-3)</f>
        <v>219000</v>
      </c>
      <c r="F295" s="50"/>
      <c r="G295" s="50">
        <f>ROUND(((+$B$295*$B$62)+$B$295)/6,-3)</f>
        <v>219000</v>
      </c>
      <c r="H295" s="58"/>
      <c r="I295" s="50">
        <f>ROUND(((+$B$295*$B$62)+$B$295)/6,-3)</f>
        <v>219000</v>
      </c>
      <c r="J295" s="58"/>
      <c r="K295" s="50">
        <f>ROUND(((+$B$295*$B$62)+$B$295)/6,-3)</f>
        <v>219000</v>
      </c>
      <c r="L295" s="50"/>
      <c r="M295" s="50">
        <f>ROUND(((+$B$295*$B$62)+$B$295)/6,-3)</f>
        <v>219000</v>
      </c>
      <c r="N295" s="58"/>
      <c r="O295" s="385">
        <f t="shared" si="208"/>
        <v>1314000</v>
      </c>
      <c r="P295" s="49">
        <f t="shared" si="216"/>
        <v>4.2857142857142858E-2</v>
      </c>
    </row>
    <row r="296" spans="1:16" x14ac:dyDescent="0.35">
      <c r="A296" s="258" t="s">
        <v>691</v>
      </c>
      <c r="B296" s="294">
        <v>990000</v>
      </c>
      <c r="C296" s="50"/>
      <c r="D296" s="58"/>
      <c r="E296" s="50"/>
      <c r="F296" s="50"/>
      <c r="G296" s="50"/>
      <c r="H296" s="58"/>
      <c r="I296" s="50">
        <f>ROUND(((+$B$296*$B$62)+$B$296)/1,-3)</f>
        <v>1032000</v>
      </c>
      <c r="J296" s="58"/>
      <c r="K296" s="50"/>
      <c r="L296" s="50"/>
      <c r="M296" s="50"/>
      <c r="N296" s="58"/>
      <c r="O296" s="385">
        <f t="shared" ref="O296:O297" si="217">SUM(C296:N296)</f>
        <v>1032000</v>
      </c>
      <c r="P296" s="49">
        <f t="shared" ref="P296:P297" si="218">+(O296-B296)/B296</f>
        <v>4.2424242424242427E-2</v>
      </c>
    </row>
    <row r="297" spans="1:16" x14ac:dyDescent="0.35">
      <c r="A297" s="258" t="s">
        <v>736</v>
      </c>
      <c r="B297" s="294">
        <v>1480000</v>
      </c>
      <c r="C297" s="50"/>
      <c r="D297" s="58"/>
      <c r="E297" s="50"/>
      <c r="F297" s="50">
        <f>ROUND(((+$B$297*$B$62)+$B$297)/2,-3)</f>
        <v>771000</v>
      </c>
      <c r="G297" s="50"/>
      <c r="H297" s="58"/>
      <c r="I297" s="50"/>
      <c r="J297" s="58"/>
      <c r="K297" s="50">
        <f>ROUND(((+$B$297*$B$62)+$B$297)/2,-3)</f>
        <v>771000</v>
      </c>
      <c r="L297" s="50"/>
      <c r="M297" s="50"/>
      <c r="N297" s="58"/>
      <c r="O297" s="385">
        <f t="shared" si="217"/>
        <v>1542000</v>
      </c>
      <c r="P297" s="49">
        <f t="shared" si="218"/>
        <v>4.1891891891891894E-2</v>
      </c>
    </row>
    <row r="298" spans="1:16" x14ac:dyDescent="0.35">
      <c r="A298" s="258" t="s">
        <v>439</v>
      </c>
      <c r="B298" s="294">
        <v>172000</v>
      </c>
      <c r="C298" s="50"/>
      <c r="D298" s="58"/>
      <c r="E298" s="58"/>
      <c r="F298" s="50"/>
      <c r="G298" s="58"/>
      <c r="H298" s="50">
        <f>ROUND(((+$B$298*$B$62)+$B$298),-3)</f>
        <v>179000</v>
      </c>
      <c r="I298" s="50"/>
      <c r="J298" s="58"/>
      <c r="K298" s="58"/>
      <c r="L298" s="50"/>
      <c r="M298" s="58"/>
      <c r="N298" s="58"/>
      <c r="O298" s="385">
        <f t="shared" si="208"/>
        <v>179000</v>
      </c>
      <c r="P298" s="49">
        <f t="shared" si="216"/>
        <v>4.0697674418604654E-2</v>
      </c>
    </row>
    <row r="299" spans="1:16" x14ac:dyDescent="0.35">
      <c r="A299" s="154" t="s">
        <v>222</v>
      </c>
      <c r="B299" s="294">
        <f>1350000+610400</f>
        <v>1960400</v>
      </c>
      <c r="C299" s="50"/>
      <c r="D299" s="58"/>
      <c r="E299" s="50">
        <f>ROUND(((+$B$299*$B$62)+$B$299)/3,-3)</f>
        <v>681000</v>
      </c>
      <c r="F299" s="58"/>
      <c r="G299" s="58"/>
      <c r="H299" s="50">
        <f>ROUND(((+$B$299*$B$62)+$B$299)/3,-3)</f>
        <v>681000</v>
      </c>
      <c r="I299" s="58"/>
      <c r="J299" s="58"/>
      <c r="K299" s="58"/>
      <c r="L299" s="50">
        <f>ROUND(((+$B$299*$B$62)+$B$299)/3,-3)</f>
        <v>681000</v>
      </c>
      <c r="M299" s="58"/>
      <c r="N299" s="58"/>
      <c r="O299" s="385">
        <f t="shared" si="208"/>
        <v>2043000</v>
      </c>
      <c r="P299" s="49">
        <f t="shared" si="216"/>
        <v>4.213425831462967E-2</v>
      </c>
    </row>
    <row r="300" spans="1:16" x14ac:dyDescent="0.35">
      <c r="A300" s="154" t="s">
        <v>54</v>
      </c>
      <c r="B300" s="294">
        <v>0</v>
      </c>
      <c r="C300" s="50"/>
      <c r="D300" s="50"/>
      <c r="E300" s="58"/>
      <c r="F300" s="50"/>
      <c r="G300" s="58"/>
      <c r="H300" s="50">
        <v>250000</v>
      </c>
      <c r="I300" s="58"/>
      <c r="J300" s="50"/>
      <c r="K300" s="58"/>
      <c r="L300" s="50"/>
      <c r="M300" s="58"/>
      <c r="N300" s="50"/>
      <c r="O300" s="385">
        <f t="shared" si="208"/>
        <v>250000</v>
      </c>
      <c r="P300" s="49">
        <v>1</v>
      </c>
    </row>
    <row r="301" spans="1:16" s="31" customFormat="1" x14ac:dyDescent="0.35">
      <c r="A301" s="29" t="s">
        <v>55</v>
      </c>
      <c r="B301" s="300">
        <f t="shared" ref="B301:O301" si="219">SUM(B302:B312)</f>
        <v>14380000</v>
      </c>
      <c r="C301" s="30">
        <f t="shared" si="219"/>
        <v>5832200</v>
      </c>
      <c r="D301" s="30">
        <f t="shared" si="219"/>
        <v>2093660</v>
      </c>
      <c r="E301" s="30">
        <f t="shared" si="219"/>
        <v>2826200</v>
      </c>
      <c r="F301" s="30">
        <f t="shared" si="219"/>
        <v>1760200</v>
      </c>
      <c r="G301" s="30">
        <f t="shared" si="219"/>
        <v>836600</v>
      </c>
      <c r="H301" s="30">
        <f t="shared" si="219"/>
        <v>575200</v>
      </c>
      <c r="I301" s="30">
        <f t="shared" si="219"/>
        <v>3039000</v>
      </c>
      <c r="J301" s="30">
        <f t="shared" si="219"/>
        <v>1845937</v>
      </c>
      <c r="K301" s="30">
        <f t="shared" si="219"/>
        <v>371000</v>
      </c>
      <c r="L301" s="30">
        <f t="shared" si="219"/>
        <v>161000</v>
      </c>
      <c r="M301" s="30">
        <f t="shared" si="219"/>
        <v>4403800</v>
      </c>
      <c r="N301" s="30">
        <f t="shared" si="219"/>
        <v>311000</v>
      </c>
      <c r="O301" s="387">
        <f t="shared" si="219"/>
        <v>24055797</v>
      </c>
      <c r="P301" s="49">
        <f t="shared" si="216"/>
        <v>0.67286488178025039</v>
      </c>
    </row>
    <row r="302" spans="1:16" x14ac:dyDescent="0.35">
      <c r="A302" s="258" t="s">
        <v>224</v>
      </c>
      <c r="B302" s="294">
        <v>0</v>
      </c>
      <c r="C302" s="50"/>
      <c r="D302" s="50">
        <f>ROUND(((+$B$302*$B$62)+$B$302),-3)</f>
        <v>0</v>
      </c>
      <c r="E302" s="58"/>
      <c r="F302" s="50"/>
      <c r="G302" s="58"/>
      <c r="H302" s="58"/>
      <c r="I302" s="50"/>
      <c r="J302" s="58"/>
      <c r="K302" s="58"/>
      <c r="L302" s="50"/>
      <c r="M302" s="58"/>
      <c r="N302" s="58"/>
      <c r="O302" s="385">
        <f t="shared" si="208"/>
        <v>0</v>
      </c>
      <c r="P302" s="49">
        <v>0</v>
      </c>
    </row>
    <row r="303" spans="1:16" x14ac:dyDescent="0.35">
      <c r="A303" s="258" t="s">
        <v>375</v>
      </c>
      <c r="B303" s="294">
        <v>2500000</v>
      </c>
      <c r="C303" s="50">
        <v>0</v>
      </c>
      <c r="D303" s="50">
        <v>1939460</v>
      </c>
      <c r="E303" s="50">
        <v>0</v>
      </c>
      <c r="F303" s="50">
        <v>0</v>
      </c>
      <c r="G303" s="50">
        <v>682400</v>
      </c>
      <c r="H303" s="50">
        <v>0</v>
      </c>
      <c r="I303" s="50">
        <v>0</v>
      </c>
      <c r="J303" s="50">
        <v>1684937</v>
      </c>
      <c r="K303" s="50">
        <v>0</v>
      </c>
      <c r="L303" s="50">
        <v>0</v>
      </c>
      <c r="M303" s="50">
        <v>1364800</v>
      </c>
      <c r="N303" s="50">
        <v>0</v>
      </c>
      <c r="O303" s="385">
        <f t="shared" si="208"/>
        <v>5671597</v>
      </c>
      <c r="P303" s="49">
        <f t="shared" si="216"/>
        <v>1.2686388</v>
      </c>
    </row>
    <row r="304" spans="1:16" x14ac:dyDescent="0.35">
      <c r="A304" s="258" t="s">
        <v>376</v>
      </c>
      <c r="B304" s="294">
        <v>2608000</v>
      </c>
      <c r="C304" s="50"/>
      <c r="D304" s="58"/>
      <c r="E304" s="50">
        <v>0</v>
      </c>
      <c r="F304" s="50">
        <f>ROUND(((+$B$304*$B$62)+$B$304)/3,-3)</f>
        <v>906000</v>
      </c>
      <c r="G304" s="58"/>
      <c r="H304" s="58"/>
      <c r="I304" s="50">
        <f>ROUND(((+$B$304*$B$62)+$B$304)/3,-3)</f>
        <v>906000</v>
      </c>
      <c r="J304" s="50">
        <v>0</v>
      </c>
      <c r="K304" s="58"/>
      <c r="L304" s="50"/>
      <c r="M304" s="50">
        <f>ROUND(((+$B$304*$B$62)+$B$304)/3,-3)</f>
        <v>906000</v>
      </c>
      <c r="N304" s="50">
        <v>0</v>
      </c>
      <c r="O304" s="385">
        <f t="shared" si="208"/>
        <v>2718000</v>
      </c>
      <c r="P304" s="49">
        <f t="shared" si="216"/>
        <v>4.2177914110429447E-2</v>
      </c>
    </row>
    <row r="305" spans="1:16" x14ac:dyDescent="0.35">
      <c r="A305" s="259" t="s">
        <v>441</v>
      </c>
      <c r="B305" s="294">
        <v>1050000</v>
      </c>
      <c r="C305" s="50">
        <v>250000</v>
      </c>
      <c r="D305" s="50">
        <v>0</v>
      </c>
      <c r="E305" s="50">
        <v>210000</v>
      </c>
      <c r="F305" s="50">
        <v>0</v>
      </c>
      <c r="G305" s="50">
        <v>0</v>
      </c>
      <c r="H305" s="50">
        <v>150000</v>
      </c>
      <c r="I305" s="50"/>
      <c r="J305" s="50"/>
      <c r="K305" s="50">
        <v>210000</v>
      </c>
      <c r="L305" s="50">
        <v>0</v>
      </c>
      <c r="M305" s="50">
        <v>0</v>
      </c>
      <c r="N305" s="50">
        <v>150000</v>
      </c>
      <c r="O305" s="385">
        <f t="shared" si="208"/>
        <v>970000</v>
      </c>
      <c r="P305" s="49">
        <f t="shared" si="216"/>
        <v>-7.6190476190476197E-2</v>
      </c>
    </row>
    <row r="306" spans="1:16" x14ac:dyDescent="0.35">
      <c r="A306" s="154" t="s">
        <v>377</v>
      </c>
      <c r="B306" s="294">
        <v>1815000</v>
      </c>
      <c r="C306" s="50">
        <v>154200</v>
      </c>
      <c r="D306" s="50">
        <v>154200</v>
      </c>
      <c r="E306" s="50">
        <v>154200</v>
      </c>
      <c r="F306" s="50">
        <v>154200</v>
      </c>
      <c r="G306" s="50">
        <v>154200</v>
      </c>
      <c r="H306" s="50">
        <v>154200</v>
      </c>
      <c r="I306" s="50">
        <v>161000</v>
      </c>
      <c r="J306" s="50">
        <v>161000</v>
      </c>
      <c r="K306" s="50">
        <v>161000</v>
      </c>
      <c r="L306" s="50">
        <v>161000</v>
      </c>
      <c r="M306" s="50">
        <v>161000</v>
      </c>
      <c r="N306" s="50">
        <v>161000</v>
      </c>
      <c r="O306" s="385">
        <f t="shared" si="208"/>
        <v>1891200</v>
      </c>
      <c r="P306" s="49">
        <f t="shared" si="216"/>
        <v>4.1983471074380163E-2</v>
      </c>
    </row>
    <row r="307" spans="1:16" x14ac:dyDescent="0.35">
      <c r="A307" s="154" t="s">
        <v>442</v>
      </c>
      <c r="B307" s="294">
        <v>260000</v>
      </c>
      <c r="C307" s="50"/>
      <c r="D307" s="50"/>
      <c r="E307" s="50"/>
      <c r="F307" s="50"/>
      <c r="G307" s="50"/>
      <c r="H307" s="50">
        <f>ROUND(((+$B$307*$B$62)+$B$307),-3)</f>
        <v>271000</v>
      </c>
      <c r="I307" s="50"/>
      <c r="J307" s="50"/>
      <c r="K307" s="50"/>
      <c r="L307" s="50"/>
      <c r="M307" s="50"/>
      <c r="N307" s="50"/>
      <c r="O307" s="385">
        <f t="shared" ref="O307" si="220">SUM(C307:N307)</f>
        <v>271000</v>
      </c>
      <c r="P307" s="49">
        <f t="shared" ref="P307" si="221">+(O307-B307)/B307</f>
        <v>4.230769230769231E-2</v>
      </c>
    </row>
    <row r="308" spans="1:16" x14ac:dyDescent="0.35">
      <c r="A308" s="154" t="s">
        <v>729</v>
      </c>
      <c r="B308" s="294">
        <v>0</v>
      </c>
      <c r="C308" s="50">
        <v>928000</v>
      </c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385">
        <f t="shared" ref="O308:O310" si="222">SUM(C308:N308)</f>
        <v>928000</v>
      </c>
      <c r="P308" s="49">
        <v>1</v>
      </c>
    </row>
    <row r="309" spans="1:16" x14ac:dyDescent="0.35">
      <c r="A309" s="154" t="s">
        <v>735</v>
      </c>
      <c r="B309" s="294">
        <v>0</v>
      </c>
      <c r="C309" s="50"/>
      <c r="D309" s="50"/>
      <c r="E309" s="50"/>
      <c r="F309" s="50">
        <v>700000</v>
      </c>
      <c r="G309" s="50"/>
      <c r="H309" s="50"/>
      <c r="I309" s="50"/>
      <c r="J309" s="50"/>
      <c r="K309" s="50"/>
      <c r="L309" s="50"/>
      <c r="M309" s="50"/>
      <c r="N309" s="50"/>
      <c r="O309" s="385">
        <f t="shared" si="222"/>
        <v>700000</v>
      </c>
      <c r="P309" s="49">
        <v>1</v>
      </c>
    </row>
    <row r="310" spans="1:16" x14ac:dyDescent="0.35">
      <c r="A310" s="154" t="s">
        <v>819</v>
      </c>
      <c r="B310" s="294">
        <v>0</v>
      </c>
      <c r="C310" s="50">
        <v>4500000</v>
      </c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385">
        <f t="shared" si="222"/>
        <v>4500000</v>
      </c>
      <c r="P310" s="49">
        <v>1</v>
      </c>
    </row>
    <row r="311" spans="1:16" x14ac:dyDescent="0.35">
      <c r="A311" s="154" t="s">
        <v>378</v>
      </c>
      <c r="B311" s="294">
        <v>470000</v>
      </c>
      <c r="C311" s="50"/>
      <c r="D311" s="50"/>
      <c r="E311" s="50">
        <f>ROUND(((+$B$311*$B$62)+$B$311),-3)</f>
        <v>490000</v>
      </c>
      <c r="F311" s="58"/>
      <c r="G311" s="50"/>
      <c r="H311" s="58"/>
      <c r="I311" s="50"/>
      <c r="J311" s="58"/>
      <c r="K311" s="58"/>
      <c r="L311" s="58"/>
      <c r="M311" s="50"/>
      <c r="N311" s="58"/>
      <c r="O311" s="385">
        <f t="shared" si="208"/>
        <v>490000</v>
      </c>
      <c r="P311" s="49">
        <f t="shared" si="216"/>
        <v>4.2553191489361701E-2</v>
      </c>
    </row>
    <row r="312" spans="1:16" x14ac:dyDescent="0.35">
      <c r="A312" s="154" t="s">
        <v>225</v>
      </c>
      <c r="B312" s="294">
        <v>5677000</v>
      </c>
      <c r="C312" s="50">
        <v>0</v>
      </c>
      <c r="D312" s="50">
        <v>0</v>
      </c>
      <c r="E312" s="50">
        <f>ROUND(((+$B$312*$B$62)+$B$312)/3,-3)</f>
        <v>1972000</v>
      </c>
      <c r="F312" s="50"/>
      <c r="G312" s="50"/>
      <c r="H312" s="50">
        <v>0</v>
      </c>
      <c r="I312" s="50">
        <f>ROUND(((+$B$312*$B$62)+$B$312)/3,-3)</f>
        <v>1972000</v>
      </c>
      <c r="J312" s="50"/>
      <c r="K312" s="50">
        <v>0</v>
      </c>
      <c r="L312" s="58"/>
      <c r="M312" s="50">
        <f>ROUND(((+$B$312*$B$62)+$B$312)/3,-3)</f>
        <v>1972000</v>
      </c>
      <c r="N312" s="50"/>
      <c r="O312" s="385">
        <f t="shared" si="208"/>
        <v>5916000</v>
      </c>
      <c r="P312" s="49">
        <f t="shared" si="216"/>
        <v>4.209970054606306E-2</v>
      </c>
    </row>
    <row r="313" spans="1:16" s="31" customFormat="1" x14ac:dyDescent="0.35">
      <c r="A313" s="29" t="s">
        <v>386</v>
      </c>
      <c r="B313" s="300">
        <f>+B314</f>
        <v>5750000</v>
      </c>
      <c r="C313" s="30">
        <f t="shared" ref="C313:O313" si="223">SUM(C314:C314)</f>
        <v>0</v>
      </c>
      <c r="D313" s="30">
        <f t="shared" si="223"/>
        <v>1997000</v>
      </c>
      <c r="E313" s="30">
        <f t="shared" si="223"/>
        <v>0</v>
      </c>
      <c r="F313" s="30">
        <f t="shared" si="223"/>
        <v>0</v>
      </c>
      <c r="G313" s="30">
        <f t="shared" si="223"/>
        <v>1997000</v>
      </c>
      <c r="H313" s="30">
        <f t="shared" si="223"/>
        <v>0</v>
      </c>
      <c r="I313" s="30">
        <f t="shared" si="223"/>
        <v>0</v>
      </c>
      <c r="J313" s="30">
        <f t="shared" si="223"/>
        <v>0</v>
      </c>
      <c r="K313" s="30">
        <f t="shared" si="223"/>
        <v>1997000</v>
      </c>
      <c r="L313" s="30">
        <f t="shared" si="223"/>
        <v>0</v>
      </c>
      <c r="M313" s="30">
        <f t="shared" si="223"/>
        <v>0</v>
      </c>
      <c r="N313" s="30">
        <f t="shared" si="223"/>
        <v>0</v>
      </c>
      <c r="O313" s="387">
        <f t="shared" si="223"/>
        <v>5991000</v>
      </c>
      <c r="P313" s="49">
        <f t="shared" si="216"/>
        <v>4.1913043478260872E-2</v>
      </c>
    </row>
    <row r="314" spans="1:16" x14ac:dyDescent="0.35">
      <c r="A314" s="154" t="s">
        <v>465</v>
      </c>
      <c r="B314" s="294">
        <v>5750000</v>
      </c>
      <c r="C314" s="50"/>
      <c r="D314" s="50">
        <f>ROUND(((+$B$314*$B$62)+$B$314)/3,-3)</f>
        <v>1997000</v>
      </c>
      <c r="E314" s="58"/>
      <c r="F314" s="50">
        <v>0</v>
      </c>
      <c r="G314" s="50">
        <f>ROUND(((+$B$314*$B$62)+$B$314)/3,-3)</f>
        <v>1997000</v>
      </c>
      <c r="H314" s="58"/>
      <c r="I314" s="50"/>
      <c r="J314" s="58"/>
      <c r="K314" s="50">
        <f>ROUND(((+$B$314*$B$62)+$B$314)/3,-3)</f>
        <v>1997000</v>
      </c>
      <c r="L314" s="58"/>
      <c r="M314" s="58"/>
      <c r="N314" s="58"/>
      <c r="O314" s="385">
        <f t="shared" ref="O314" si="224">SUM(C314:N314)</f>
        <v>5991000</v>
      </c>
      <c r="P314" s="49">
        <f t="shared" si="216"/>
        <v>4.1913043478260872E-2</v>
      </c>
    </row>
    <row r="315" spans="1:16" s="31" customFormat="1" x14ac:dyDescent="0.35">
      <c r="A315" s="29" t="s">
        <v>57</v>
      </c>
      <c r="B315" s="300">
        <f t="shared" ref="B315:O315" si="225">+B316+B329+B344+B348</f>
        <v>78070200</v>
      </c>
      <c r="C315" s="30">
        <f t="shared" si="225"/>
        <v>7858000</v>
      </c>
      <c r="D315" s="30">
        <f t="shared" si="225"/>
        <v>10405000</v>
      </c>
      <c r="E315" s="30">
        <f t="shared" si="225"/>
        <v>4209000</v>
      </c>
      <c r="F315" s="30">
        <f t="shared" si="225"/>
        <v>3860000</v>
      </c>
      <c r="G315" s="30">
        <f t="shared" si="225"/>
        <v>8484000</v>
      </c>
      <c r="H315" s="30">
        <f t="shared" si="225"/>
        <v>7677000</v>
      </c>
      <c r="I315" s="30">
        <f t="shared" si="225"/>
        <v>5410000</v>
      </c>
      <c r="J315" s="30">
        <f t="shared" si="225"/>
        <v>19889000</v>
      </c>
      <c r="K315" s="30">
        <f t="shared" si="225"/>
        <v>16517000</v>
      </c>
      <c r="L315" s="30">
        <f t="shared" si="225"/>
        <v>6115000</v>
      </c>
      <c r="M315" s="30">
        <f t="shared" si="225"/>
        <v>7124000</v>
      </c>
      <c r="N315" s="30">
        <f t="shared" si="225"/>
        <v>3383000</v>
      </c>
      <c r="O315" s="387">
        <f t="shared" si="225"/>
        <v>100931000</v>
      </c>
      <c r="P315" s="49">
        <f t="shared" ref="P315:P339" si="226">+(O315-B315)/B315</f>
        <v>0.29282363821278795</v>
      </c>
    </row>
    <row r="316" spans="1:16" x14ac:dyDescent="0.35">
      <c r="A316" s="154" t="s">
        <v>59</v>
      </c>
      <c r="B316" s="300">
        <f t="shared" ref="B316:O316" si="227">SUM(B317:B328)</f>
        <v>18836000</v>
      </c>
      <c r="C316" s="50">
        <f t="shared" si="227"/>
        <v>1150000</v>
      </c>
      <c r="D316" s="50">
        <f t="shared" si="227"/>
        <v>2966000</v>
      </c>
      <c r="E316" s="50">
        <f t="shared" si="227"/>
        <v>214000</v>
      </c>
      <c r="F316" s="50">
        <f t="shared" si="227"/>
        <v>422000</v>
      </c>
      <c r="G316" s="50">
        <f t="shared" si="227"/>
        <v>1364000</v>
      </c>
      <c r="H316" s="50">
        <f t="shared" si="227"/>
        <v>2426000</v>
      </c>
      <c r="I316" s="50">
        <f t="shared" si="227"/>
        <v>300000</v>
      </c>
      <c r="J316" s="50">
        <f t="shared" si="227"/>
        <v>2254000</v>
      </c>
      <c r="K316" s="50">
        <f t="shared" si="227"/>
        <v>12174000</v>
      </c>
      <c r="L316" s="50">
        <f t="shared" si="227"/>
        <v>1262000</v>
      </c>
      <c r="M316" s="50">
        <f t="shared" si="227"/>
        <v>1224000</v>
      </c>
      <c r="N316" s="50">
        <f t="shared" si="227"/>
        <v>300000</v>
      </c>
      <c r="O316" s="387">
        <f t="shared" si="227"/>
        <v>26056000</v>
      </c>
      <c r="P316" s="49">
        <f t="shared" si="226"/>
        <v>0.38330855808027181</v>
      </c>
    </row>
    <row r="317" spans="1:16" x14ac:dyDescent="0.35">
      <c r="A317" s="154" t="s">
        <v>60</v>
      </c>
      <c r="B317" s="294">
        <v>0</v>
      </c>
      <c r="C317" s="50">
        <v>800000</v>
      </c>
      <c r="D317" s="58"/>
      <c r="E317" s="58"/>
      <c r="F317" s="58"/>
      <c r="G317" s="50">
        <v>0</v>
      </c>
      <c r="H317" s="50">
        <v>0</v>
      </c>
      <c r="I317" s="58"/>
      <c r="J317" s="58"/>
      <c r="K317" s="50">
        <v>0</v>
      </c>
      <c r="L317" s="50"/>
      <c r="M317" s="50">
        <v>0</v>
      </c>
      <c r="N317" s="58"/>
      <c r="O317" s="385">
        <f t="shared" ref="O317:O362" si="228">SUM(C317:N317)</f>
        <v>800000</v>
      </c>
      <c r="P317" s="49">
        <v>1</v>
      </c>
    </row>
    <row r="318" spans="1:16" x14ac:dyDescent="0.35">
      <c r="A318" s="154" t="s">
        <v>389</v>
      </c>
      <c r="B318" s="294">
        <v>810000</v>
      </c>
      <c r="C318" s="50">
        <v>350000</v>
      </c>
      <c r="D318" s="50">
        <v>0</v>
      </c>
      <c r="E318" s="50">
        <v>0</v>
      </c>
      <c r="F318" s="58"/>
      <c r="G318" s="50">
        <v>350000</v>
      </c>
      <c r="H318" s="58"/>
      <c r="I318" s="58"/>
      <c r="J318" s="50">
        <v>0</v>
      </c>
      <c r="K318" s="50"/>
      <c r="L318" s="58"/>
      <c r="M318" s="50">
        <v>350000</v>
      </c>
      <c r="N318" s="58"/>
      <c r="O318" s="385">
        <f t="shared" si="228"/>
        <v>1050000</v>
      </c>
      <c r="P318" s="49">
        <f t="shared" si="226"/>
        <v>0.29629629629629628</v>
      </c>
    </row>
    <row r="319" spans="1:16" x14ac:dyDescent="0.35">
      <c r="A319" s="154" t="s">
        <v>521</v>
      </c>
      <c r="B319" s="294">
        <v>0</v>
      </c>
      <c r="C319" s="70">
        <v>0</v>
      </c>
      <c r="D319" s="70">
        <v>0</v>
      </c>
      <c r="E319" s="70">
        <v>110000</v>
      </c>
      <c r="F319" s="70">
        <v>0</v>
      </c>
      <c r="G319" s="70">
        <v>0</v>
      </c>
      <c r="H319" s="70">
        <v>110000</v>
      </c>
      <c r="I319" s="70">
        <v>0</v>
      </c>
      <c r="J319" s="70">
        <v>0</v>
      </c>
      <c r="K319" s="70">
        <v>0</v>
      </c>
      <c r="L319" s="70">
        <v>0</v>
      </c>
      <c r="M319" s="70">
        <v>0</v>
      </c>
      <c r="N319" s="70">
        <v>0</v>
      </c>
      <c r="O319" s="385">
        <f t="shared" si="228"/>
        <v>220000</v>
      </c>
      <c r="P319" s="49">
        <v>1</v>
      </c>
    </row>
    <row r="320" spans="1:16" x14ac:dyDescent="0.35">
      <c r="A320" s="154" t="s">
        <v>524</v>
      </c>
      <c r="B320" s="294">
        <v>2050000</v>
      </c>
      <c r="C320" s="50"/>
      <c r="D320" s="50">
        <f>ROUND(((+$B$320*$B$62)+$B$320)/3,-3)</f>
        <v>712000</v>
      </c>
      <c r="E320" s="50"/>
      <c r="F320" s="58"/>
      <c r="G320" s="50">
        <v>0</v>
      </c>
      <c r="H320" s="50">
        <f>ROUND(((+$B$320*$B$62)+$B$320)/3,-3)</f>
        <v>712000</v>
      </c>
      <c r="I320" s="50">
        <v>0</v>
      </c>
      <c r="J320" s="50">
        <v>0</v>
      </c>
      <c r="K320" s="50">
        <v>0</v>
      </c>
      <c r="L320" s="50">
        <f>ROUND(((+$B$320*$B$62)+$B$320)/3,-3)</f>
        <v>712000</v>
      </c>
      <c r="M320" s="50"/>
      <c r="N320" s="58"/>
      <c r="O320" s="385">
        <f t="shared" si="228"/>
        <v>2136000</v>
      </c>
      <c r="P320" s="49">
        <f t="shared" si="226"/>
        <v>4.1951219512195125E-2</v>
      </c>
    </row>
    <row r="321" spans="1:16" x14ac:dyDescent="0.35">
      <c r="A321" s="154" t="s">
        <v>522</v>
      </c>
      <c r="B321" s="294">
        <v>300000</v>
      </c>
      <c r="C321" s="50"/>
      <c r="D321" s="50"/>
      <c r="E321" s="50">
        <f>ROUND(((+$B$321*$B$62)+$B$321)/3,-3)</f>
        <v>104000</v>
      </c>
      <c r="F321" s="58"/>
      <c r="G321" s="50"/>
      <c r="H321" s="50">
        <f>ROUND(((+$B$321*$B$62)+$B$321)/3,-3)</f>
        <v>104000</v>
      </c>
      <c r="I321" s="50"/>
      <c r="J321" s="50"/>
      <c r="K321" s="50">
        <f>ROUND(((+$B$321*$B$62)+$B$321)/3,-3)</f>
        <v>104000</v>
      </c>
      <c r="L321" s="50"/>
      <c r="M321" s="50"/>
      <c r="N321" s="58"/>
      <c r="O321" s="385">
        <f t="shared" ref="O321" si="229">SUM(C321:N321)</f>
        <v>312000</v>
      </c>
      <c r="P321" s="49">
        <f t="shared" ref="P321" si="230">+(O321-B321)/B321</f>
        <v>0.04</v>
      </c>
    </row>
    <row r="322" spans="1:16" x14ac:dyDescent="0.35">
      <c r="A322" s="154" t="s">
        <v>525</v>
      </c>
      <c r="B322" s="294">
        <v>2965000</v>
      </c>
      <c r="C322" s="50">
        <v>0</v>
      </c>
      <c r="D322" s="50">
        <v>300000</v>
      </c>
      <c r="E322" s="50">
        <v>0</v>
      </c>
      <c r="F322" s="50">
        <v>0</v>
      </c>
      <c r="G322" s="50">
        <v>300000</v>
      </c>
      <c r="H322" s="50">
        <v>1500000</v>
      </c>
      <c r="I322" s="50">
        <v>300000</v>
      </c>
      <c r="J322" s="50">
        <v>300000</v>
      </c>
      <c r="K322" s="50">
        <v>300000</v>
      </c>
      <c r="L322" s="50">
        <v>300000</v>
      </c>
      <c r="M322" s="50">
        <v>600000</v>
      </c>
      <c r="N322" s="50">
        <v>300000</v>
      </c>
      <c r="O322" s="385">
        <f t="shared" si="228"/>
        <v>4200000</v>
      </c>
      <c r="P322" s="49">
        <f t="shared" si="226"/>
        <v>0.41652613827993257</v>
      </c>
    </row>
    <row r="323" spans="1:16" x14ac:dyDescent="0.35">
      <c r="A323" s="154" t="s">
        <v>449</v>
      </c>
      <c r="B323" s="294">
        <v>11296000</v>
      </c>
      <c r="C323" s="50"/>
      <c r="D323" s="58"/>
      <c r="E323" s="50"/>
      <c r="F323" s="58"/>
      <c r="G323" s="50"/>
      <c r="H323" s="50"/>
      <c r="I323" s="50"/>
      <c r="J323" s="50"/>
      <c r="K323" s="50">
        <f>ROUND(((+$B$323*$B$62)+$B$323),-3)</f>
        <v>11770000</v>
      </c>
      <c r="L323" s="58"/>
      <c r="M323" s="50"/>
      <c r="N323" s="50"/>
      <c r="O323" s="385">
        <f t="shared" si="228"/>
        <v>11770000</v>
      </c>
      <c r="P323" s="49">
        <f t="shared" si="226"/>
        <v>4.1961756373937675E-2</v>
      </c>
    </row>
    <row r="324" spans="1:16" x14ac:dyDescent="0.35">
      <c r="A324" s="154" t="s">
        <v>780</v>
      </c>
      <c r="B324" s="294">
        <v>0</v>
      </c>
      <c r="C324" s="50">
        <v>0</v>
      </c>
      <c r="D324" s="50">
        <f>280000*6</f>
        <v>1680000</v>
      </c>
      <c r="E324" s="50">
        <v>0</v>
      </c>
      <c r="F324" s="50">
        <v>0</v>
      </c>
      <c r="G324" s="50">
        <v>0</v>
      </c>
      <c r="H324" s="50">
        <v>0</v>
      </c>
      <c r="I324" s="50">
        <v>0</v>
      </c>
      <c r="J324" s="50">
        <f>280000*6</f>
        <v>1680000</v>
      </c>
      <c r="K324" s="50">
        <v>0</v>
      </c>
      <c r="L324" s="50">
        <v>0</v>
      </c>
      <c r="M324" s="50">
        <v>0</v>
      </c>
      <c r="N324" s="50">
        <v>0</v>
      </c>
      <c r="O324" s="385">
        <f t="shared" si="228"/>
        <v>3360000</v>
      </c>
      <c r="P324" s="49">
        <v>1</v>
      </c>
    </row>
    <row r="325" spans="1:16" x14ac:dyDescent="0.35">
      <c r="A325" s="258" t="s">
        <v>270</v>
      </c>
      <c r="B325" s="294">
        <v>165000</v>
      </c>
      <c r="C325" s="50"/>
      <c r="D325" s="58"/>
      <c r="E325" s="50">
        <v>0</v>
      </c>
      <c r="F325" s="50">
        <f>ROUND(((+$B$325*$B$62)+$B$325),-3)</f>
        <v>172000</v>
      </c>
      <c r="G325" s="50"/>
      <c r="H325" s="50">
        <v>0</v>
      </c>
      <c r="I325" s="50"/>
      <c r="J325" s="50"/>
      <c r="K325" s="58"/>
      <c r="L325" s="50">
        <v>0</v>
      </c>
      <c r="M325" s="50"/>
      <c r="N325" s="58"/>
      <c r="O325" s="385">
        <f t="shared" si="228"/>
        <v>172000</v>
      </c>
      <c r="P325" s="49">
        <f t="shared" si="226"/>
        <v>4.2424242424242427E-2</v>
      </c>
    </row>
    <row r="326" spans="1:16" x14ac:dyDescent="0.35">
      <c r="A326" s="258" t="s">
        <v>907</v>
      </c>
      <c r="B326" s="294">
        <v>0</v>
      </c>
      <c r="C326" s="32"/>
      <c r="D326" s="8"/>
      <c r="E326" s="32"/>
      <c r="F326" s="32"/>
      <c r="G326" s="50">
        <v>440000</v>
      </c>
      <c r="H326" s="32"/>
      <c r="I326" s="32"/>
      <c r="J326" s="8"/>
      <c r="K326" s="32"/>
      <c r="L326" s="32"/>
      <c r="M326" s="32"/>
      <c r="N326" s="32"/>
      <c r="O326" s="385">
        <f t="shared" si="228"/>
        <v>440000</v>
      </c>
      <c r="P326" s="49">
        <v>1</v>
      </c>
    </row>
    <row r="327" spans="1:16" x14ac:dyDescent="0.35">
      <c r="A327" s="258" t="s">
        <v>450</v>
      </c>
      <c r="B327" s="294">
        <v>200000</v>
      </c>
      <c r="C327" s="50"/>
      <c r="D327" s="50"/>
      <c r="E327" s="50"/>
      <c r="F327" s="50">
        <v>250000</v>
      </c>
      <c r="G327" s="50">
        <v>0</v>
      </c>
      <c r="H327" s="50"/>
      <c r="I327" s="50"/>
      <c r="J327" s="50"/>
      <c r="K327" s="50"/>
      <c r="L327" s="50">
        <v>250000</v>
      </c>
      <c r="M327" s="50"/>
      <c r="N327" s="50"/>
      <c r="O327" s="385">
        <f t="shared" si="228"/>
        <v>500000</v>
      </c>
      <c r="P327" s="49">
        <f t="shared" si="226"/>
        <v>1.5</v>
      </c>
    </row>
    <row r="328" spans="1:16" x14ac:dyDescent="0.35">
      <c r="A328" s="258" t="s">
        <v>520</v>
      </c>
      <c r="B328" s="294">
        <v>1050000</v>
      </c>
      <c r="C328" s="50"/>
      <c r="D328" s="50">
        <f>ROUND(((+$B$328*$B$62)+$B$328)/4,-3)</f>
        <v>274000</v>
      </c>
      <c r="E328" s="50"/>
      <c r="F328" s="67">
        <v>0</v>
      </c>
      <c r="G328" s="50">
        <f>ROUND(((+$B$328*$B$62)+$B$328)/4,-3)</f>
        <v>274000</v>
      </c>
      <c r="H328" s="50"/>
      <c r="I328" s="50"/>
      <c r="J328" s="50">
        <f>ROUND(((+$B$328*$B$62)+$B$328)/4,-3)</f>
        <v>274000</v>
      </c>
      <c r="K328" s="67">
        <v>0</v>
      </c>
      <c r="L328" s="50"/>
      <c r="M328" s="50">
        <f>ROUND(((+$B$328*$B$62)+$B$328)/4,-3)</f>
        <v>274000</v>
      </c>
      <c r="N328" s="58"/>
      <c r="O328" s="385">
        <f t="shared" si="228"/>
        <v>1096000</v>
      </c>
      <c r="P328" s="49">
        <f t="shared" si="226"/>
        <v>4.3809523809523812E-2</v>
      </c>
    </row>
    <row r="329" spans="1:16" x14ac:dyDescent="0.35">
      <c r="A329" s="154" t="s">
        <v>61</v>
      </c>
      <c r="B329" s="300">
        <f t="shared" ref="B329:O329" si="231">SUM(B330:B343)</f>
        <v>16402200</v>
      </c>
      <c r="C329" s="50">
        <f t="shared" si="231"/>
        <v>1557000</v>
      </c>
      <c r="D329" s="50">
        <f t="shared" si="231"/>
        <v>2583000</v>
      </c>
      <c r="E329" s="50">
        <f t="shared" si="231"/>
        <v>757000</v>
      </c>
      <c r="F329" s="50">
        <f t="shared" si="231"/>
        <v>92000</v>
      </c>
      <c r="G329" s="50">
        <f t="shared" si="231"/>
        <v>2387000</v>
      </c>
      <c r="H329" s="50">
        <f t="shared" si="231"/>
        <v>1533000</v>
      </c>
      <c r="I329" s="50">
        <f t="shared" si="231"/>
        <v>1057000</v>
      </c>
      <c r="J329" s="50">
        <f t="shared" si="231"/>
        <v>7981000</v>
      </c>
      <c r="K329" s="50">
        <f t="shared" si="231"/>
        <v>734000</v>
      </c>
      <c r="L329" s="50">
        <f t="shared" si="231"/>
        <v>1698000</v>
      </c>
      <c r="M329" s="50">
        <f t="shared" si="231"/>
        <v>2537000</v>
      </c>
      <c r="N329" s="50">
        <f t="shared" si="231"/>
        <v>392000</v>
      </c>
      <c r="O329" s="387">
        <f t="shared" si="231"/>
        <v>23308000</v>
      </c>
      <c r="P329" s="49">
        <f t="shared" si="226"/>
        <v>0.42102888636890173</v>
      </c>
    </row>
    <row r="330" spans="1:16" x14ac:dyDescent="0.35">
      <c r="A330" s="154" t="s">
        <v>62</v>
      </c>
      <c r="B330" s="294">
        <v>0</v>
      </c>
      <c r="C330" s="50">
        <v>800000</v>
      </c>
      <c r="D330" s="58"/>
      <c r="E330" s="58"/>
      <c r="F330" s="58"/>
      <c r="G330" s="50">
        <v>0</v>
      </c>
      <c r="H330" s="58"/>
      <c r="I330" s="58"/>
      <c r="J330" s="58"/>
      <c r="K330" s="50">
        <v>0</v>
      </c>
      <c r="L330" s="50">
        <v>0</v>
      </c>
      <c r="M330" s="58"/>
      <c r="N330" s="58"/>
      <c r="O330" s="385">
        <f t="shared" si="228"/>
        <v>800000</v>
      </c>
      <c r="P330" s="49">
        <v>1</v>
      </c>
    </row>
    <row r="331" spans="1:16" x14ac:dyDescent="0.35">
      <c r="A331" s="154" t="s">
        <v>526</v>
      </c>
      <c r="B331" s="294">
        <v>1240000</v>
      </c>
      <c r="C331" s="50">
        <f>ROUND(((+$B$331*$B$62)+$B$331)/4,-3)</f>
        <v>323000</v>
      </c>
      <c r="D331" s="50">
        <v>0</v>
      </c>
      <c r="E331" s="58">
        <v>323000</v>
      </c>
      <c r="F331" s="58"/>
      <c r="G331" s="50">
        <f>ROUND(((+$B$331*$B$62)+$B$331)/4,-3)</f>
        <v>323000</v>
      </c>
      <c r="H331" s="58"/>
      <c r="I331" s="50">
        <f>ROUND(((+$B$331*$B$62)+$B$331)/4,-3)</f>
        <v>323000</v>
      </c>
      <c r="J331" s="50">
        <v>0</v>
      </c>
      <c r="K331" s="50">
        <v>0</v>
      </c>
      <c r="L331" s="50"/>
      <c r="M331" s="50">
        <f>ROUND(((+$B$331*$B$62)+$B$331)/4,-3)</f>
        <v>323000</v>
      </c>
      <c r="N331" s="58"/>
      <c r="O331" s="385">
        <f t="shared" si="228"/>
        <v>1615000</v>
      </c>
      <c r="P331" s="49">
        <f t="shared" si="226"/>
        <v>0.30241935483870969</v>
      </c>
    </row>
    <row r="332" spans="1:16" x14ac:dyDescent="0.35">
      <c r="A332" s="154" t="s">
        <v>527</v>
      </c>
      <c r="B332" s="294">
        <v>1270000</v>
      </c>
      <c r="C332" s="50"/>
      <c r="D332" s="50">
        <f>ROUND(((+$B$332*$B$62)+$B$332)/3,-3)</f>
        <v>441000</v>
      </c>
      <c r="E332" s="58"/>
      <c r="F332" s="58"/>
      <c r="G332" s="58"/>
      <c r="H332" s="50">
        <f>ROUND(((+$B$332*$B$62)+$B$332)/3,-3)</f>
        <v>441000</v>
      </c>
      <c r="I332" s="58"/>
      <c r="J332" s="58"/>
      <c r="K332" s="58"/>
      <c r="L332" s="50">
        <f>ROUND(((+$B$332*$B$62)+$B$332)/3,-3)</f>
        <v>441000</v>
      </c>
      <c r="M332" s="50">
        <v>0</v>
      </c>
      <c r="N332" s="58"/>
      <c r="O332" s="385">
        <f t="shared" si="228"/>
        <v>1323000</v>
      </c>
      <c r="P332" s="49">
        <f t="shared" si="226"/>
        <v>4.1732283464566929E-2</v>
      </c>
    </row>
    <row r="333" spans="1:16" x14ac:dyDescent="0.35">
      <c r="A333" s="154" t="s">
        <v>528</v>
      </c>
      <c r="B333" s="294">
        <v>2500000</v>
      </c>
      <c r="C333" s="50">
        <f>ROUND(((+$B$333*$B$62)+$B$333)/6,-3)</f>
        <v>434000</v>
      </c>
      <c r="D333" s="50">
        <v>0</v>
      </c>
      <c r="E333" s="50">
        <f>ROUND(((+$B$333*$B$62)+$B$333)/6,-3)</f>
        <v>434000</v>
      </c>
      <c r="F333" s="58"/>
      <c r="G333" s="50">
        <f>ROUND(((+$B$333*$B$62)+$B$333)/6,-3)</f>
        <v>434000</v>
      </c>
      <c r="H333" s="50"/>
      <c r="I333" s="50">
        <f>ROUND(((+$B$333*$B$62)+$B$333)/6,-3)</f>
        <v>434000</v>
      </c>
      <c r="J333" s="50">
        <v>0</v>
      </c>
      <c r="K333" s="50">
        <f>ROUND(((+$B$333*$B$62)+$B$333)/6,-3)</f>
        <v>434000</v>
      </c>
      <c r="L333" s="50">
        <v>0</v>
      </c>
      <c r="M333" s="50">
        <f>ROUND(((+$B$333*$B$62)+$B$333)/6,-3)</f>
        <v>434000</v>
      </c>
      <c r="N333" s="58"/>
      <c r="O333" s="385">
        <f t="shared" si="228"/>
        <v>2604000</v>
      </c>
      <c r="P333" s="49">
        <f t="shared" si="226"/>
        <v>4.1599999999999998E-2</v>
      </c>
    </row>
    <row r="334" spans="1:16" x14ac:dyDescent="0.35">
      <c r="A334" s="154" t="s">
        <v>390</v>
      </c>
      <c r="B334" s="294">
        <v>5300000</v>
      </c>
      <c r="C334" s="50"/>
      <c r="D334" s="58"/>
      <c r="E334" s="50"/>
      <c r="F334" s="58"/>
      <c r="G334" s="50"/>
      <c r="H334" s="58"/>
      <c r="I334" s="58"/>
      <c r="J334" s="50">
        <f>ROUND(((+$B$334*$B$62)+$B$334),-3)</f>
        <v>5523000</v>
      </c>
      <c r="K334" s="58"/>
      <c r="L334" s="50"/>
      <c r="M334" s="58"/>
      <c r="N334" s="58"/>
      <c r="O334" s="385">
        <f t="shared" si="228"/>
        <v>5523000</v>
      </c>
      <c r="P334" s="49">
        <f t="shared" si="226"/>
        <v>4.2075471698113209E-2</v>
      </c>
    </row>
    <row r="335" spans="1:16" x14ac:dyDescent="0.35">
      <c r="A335" s="154" t="s">
        <v>529</v>
      </c>
      <c r="B335" s="294">
        <v>4200000</v>
      </c>
      <c r="C335" s="50">
        <v>0</v>
      </c>
      <c r="D335" s="50">
        <v>800000</v>
      </c>
      <c r="E335" s="50">
        <v>0</v>
      </c>
      <c r="F335" s="50">
        <v>0</v>
      </c>
      <c r="G335" s="50">
        <v>800000</v>
      </c>
      <c r="H335" s="50">
        <v>1000000</v>
      </c>
      <c r="I335" s="50">
        <v>300000</v>
      </c>
      <c r="J335" s="50">
        <v>400000</v>
      </c>
      <c r="K335" s="50">
        <v>300000</v>
      </c>
      <c r="L335" s="50">
        <v>800000</v>
      </c>
      <c r="M335" s="50">
        <v>800000</v>
      </c>
      <c r="N335" s="50">
        <v>300000</v>
      </c>
      <c r="O335" s="385">
        <f t="shared" si="228"/>
        <v>5500000</v>
      </c>
      <c r="P335" s="49">
        <f t="shared" si="226"/>
        <v>0.30952380952380953</v>
      </c>
    </row>
    <row r="336" spans="1:16" x14ac:dyDescent="0.35">
      <c r="A336" s="154" t="s">
        <v>226</v>
      </c>
      <c r="B336" s="294">
        <v>312000</v>
      </c>
      <c r="C336" s="50"/>
      <c r="D336" s="58"/>
      <c r="E336" s="50"/>
      <c r="F336" s="58"/>
      <c r="G336" s="50"/>
      <c r="H336" s="58"/>
      <c r="I336" s="58"/>
      <c r="J336" s="50">
        <f>ROUND(((+$B$336*$B$62)+$B$336),-3)</f>
        <v>325000</v>
      </c>
      <c r="K336" s="58"/>
      <c r="L336" s="50"/>
      <c r="M336" s="58"/>
      <c r="N336" s="58"/>
      <c r="O336" s="385">
        <f t="shared" si="228"/>
        <v>325000</v>
      </c>
      <c r="P336" s="49">
        <f t="shared" si="226"/>
        <v>4.1666666666666664E-2</v>
      </c>
    </row>
    <row r="337" spans="1:16" x14ac:dyDescent="0.35">
      <c r="A337" s="154" t="s">
        <v>392</v>
      </c>
      <c r="B337" s="294">
        <v>250000</v>
      </c>
      <c r="C337" s="50"/>
      <c r="D337" s="58"/>
      <c r="E337" s="50"/>
      <c r="F337" s="58"/>
      <c r="G337" s="50"/>
      <c r="H337" s="58"/>
      <c r="I337" s="58"/>
      <c r="J337" s="50">
        <f>ROUND(((+$B$337*$B$62)+$B$337),-3)</f>
        <v>261000</v>
      </c>
      <c r="K337" s="58"/>
      <c r="L337" s="50"/>
      <c r="M337" s="58"/>
      <c r="N337" s="58"/>
      <c r="O337" s="385">
        <f t="shared" si="228"/>
        <v>261000</v>
      </c>
      <c r="P337" s="49">
        <f t="shared" si="226"/>
        <v>4.3999999999999997E-2</v>
      </c>
    </row>
    <row r="338" spans="1:16" x14ac:dyDescent="0.35">
      <c r="A338" s="154" t="s">
        <v>781</v>
      </c>
      <c r="B338" s="294">
        <v>0</v>
      </c>
      <c r="C338" s="50">
        <v>0</v>
      </c>
      <c r="D338" s="50">
        <v>900000</v>
      </c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50">
        <v>900000</v>
      </c>
      <c r="K338" s="50">
        <v>0</v>
      </c>
      <c r="L338" s="50">
        <v>0</v>
      </c>
      <c r="M338" s="50">
        <v>0</v>
      </c>
      <c r="N338" s="50">
        <v>0</v>
      </c>
      <c r="O338" s="385">
        <f t="shared" si="228"/>
        <v>1800000</v>
      </c>
      <c r="P338" s="49">
        <v>1</v>
      </c>
    </row>
    <row r="339" spans="1:16" x14ac:dyDescent="0.35">
      <c r="A339" s="154" t="s">
        <v>523</v>
      </c>
      <c r="B339" s="294">
        <f>189700+340300</f>
        <v>530000</v>
      </c>
      <c r="C339" s="70"/>
      <c r="D339" s="50">
        <f>ROUND(((+$B$339*$B$62)+$B$339)/6,-3)</f>
        <v>92000</v>
      </c>
      <c r="E339" s="70"/>
      <c r="F339" s="50">
        <f>ROUND(((+$B$339*$B$62)+$B$339)/6,-3)</f>
        <v>92000</v>
      </c>
      <c r="G339" s="70"/>
      <c r="H339" s="50">
        <f>ROUND(((+$B$339*$B$62)+$B$339)/6,-3)</f>
        <v>92000</v>
      </c>
      <c r="I339" s="70"/>
      <c r="J339" s="50">
        <f>ROUND(((+$B$339*$B$62)+$B$339)/6,-3)</f>
        <v>92000</v>
      </c>
      <c r="K339" s="70"/>
      <c r="L339" s="50">
        <f>ROUND(((+$B$339*$B$62)+$B$339)/6,-3)</f>
        <v>92000</v>
      </c>
      <c r="M339" s="50"/>
      <c r="N339" s="50">
        <f>ROUND(((+$B$339*$B$62)+$B$339)/6,-3)</f>
        <v>92000</v>
      </c>
      <c r="O339" s="385">
        <f t="shared" si="228"/>
        <v>552000</v>
      </c>
      <c r="P339" s="49">
        <f t="shared" si="226"/>
        <v>4.1509433962264149E-2</v>
      </c>
    </row>
    <row r="340" spans="1:16" x14ac:dyDescent="0.35">
      <c r="A340" s="154" t="s">
        <v>909</v>
      </c>
      <c r="B340" s="294"/>
      <c r="C340" s="8">
        <v>0</v>
      </c>
      <c r="D340" s="8">
        <v>350000</v>
      </c>
      <c r="E340" s="8">
        <v>0</v>
      </c>
      <c r="F340" s="8">
        <v>0</v>
      </c>
      <c r="G340" s="8">
        <v>350000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385">
        <f t="shared" si="228"/>
        <v>700000</v>
      </c>
      <c r="P340" s="49">
        <v>1</v>
      </c>
    </row>
    <row r="341" spans="1:16" x14ac:dyDescent="0.35">
      <c r="A341" s="154" t="s">
        <v>453</v>
      </c>
      <c r="B341" s="294">
        <v>350000</v>
      </c>
      <c r="C341" s="70"/>
      <c r="D341" s="50"/>
      <c r="E341" s="70"/>
      <c r="F341" s="50"/>
      <c r="G341" s="70"/>
      <c r="H341" s="50"/>
      <c r="I341" s="70"/>
      <c r="J341" s="50"/>
      <c r="K341" s="70"/>
      <c r="L341" s="50">
        <f>ROUND(((+$B$341*$B$62)+$B$341),-3)</f>
        <v>365000</v>
      </c>
      <c r="M341" s="50"/>
      <c r="N341" s="50"/>
      <c r="O341" s="385">
        <f t="shared" ref="O341:O342" si="232">SUM(C341:N341)</f>
        <v>365000</v>
      </c>
      <c r="P341" s="49">
        <v>1</v>
      </c>
    </row>
    <row r="342" spans="1:16" x14ac:dyDescent="0.35">
      <c r="A342" s="154" t="s">
        <v>768</v>
      </c>
      <c r="B342" s="294">
        <v>0</v>
      </c>
      <c r="C342" s="70"/>
      <c r="D342" s="50"/>
      <c r="E342" s="70"/>
      <c r="F342" s="50"/>
      <c r="G342" s="70">
        <v>0</v>
      </c>
      <c r="H342" s="50"/>
      <c r="I342" s="70"/>
      <c r="J342" s="50"/>
      <c r="K342" s="70"/>
      <c r="L342" s="50"/>
      <c r="M342" s="50">
        <v>500000</v>
      </c>
      <c r="N342" s="50"/>
      <c r="O342" s="385">
        <f t="shared" si="232"/>
        <v>500000</v>
      </c>
      <c r="P342" s="49">
        <v>1</v>
      </c>
    </row>
    <row r="343" spans="1:16" x14ac:dyDescent="0.35">
      <c r="A343" s="154" t="s">
        <v>391</v>
      </c>
      <c r="B343" s="294">
        <v>450200</v>
      </c>
      <c r="C343" s="50"/>
      <c r="D343" s="50"/>
      <c r="E343" s="50"/>
      <c r="F343" s="50"/>
      <c r="G343" s="50">
        <v>480000</v>
      </c>
      <c r="H343" s="50"/>
      <c r="I343" s="50"/>
      <c r="J343" s="50">
        <v>480000</v>
      </c>
      <c r="K343" s="50"/>
      <c r="L343" s="50"/>
      <c r="M343" s="50">
        <v>480000</v>
      </c>
      <c r="N343" s="50"/>
      <c r="O343" s="385">
        <f t="shared" si="228"/>
        <v>1440000</v>
      </c>
      <c r="P343" s="49">
        <f t="shared" ref="P343:P351" si="233">+(O343-B343)/B343</f>
        <v>2.198578409595735</v>
      </c>
    </row>
    <row r="344" spans="1:16" x14ac:dyDescent="0.35">
      <c r="A344" s="154" t="s">
        <v>63</v>
      </c>
      <c r="B344" s="300">
        <f t="shared" ref="B344:O344" si="234">SUM(B345:B347)</f>
        <v>1516000</v>
      </c>
      <c r="C344" s="50">
        <f t="shared" si="234"/>
        <v>87000</v>
      </c>
      <c r="D344" s="50">
        <f t="shared" si="234"/>
        <v>87000</v>
      </c>
      <c r="E344" s="50">
        <f t="shared" si="234"/>
        <v>87000</v>
      </c>
      <c r="F344" s="50">
        <f t="shared" si="234"/>
        <v>583000</v>
      </c>
      <c r="G344" s="50">
        <f t="shared" si="234"/>
        <v>87000</v>
      </c>
      <c r="H344" s="50">
        <f t="shared" si="234"/>
        <v>87000</v>
      </c>
      <c r="I344" s="50">
        <f t="shared" si="234"/>
        <v>87000</v>
      </c>
      <c r="J344" s="50">
        <f t="shared" si="234"/>
        <v>87000</v>
      </c>
      <c r="K344" s="50">
        <f t="shared" si="234"/>
        <v>108000</v>
      </c>
      <c r="L344" s="50">
        <f t="shared" si="234"/>
        <v>108000</v>
      </c>
      <c r="M344" s="50">
        <f t="shared" si="234"/>
        <v>87000</v>
      </c>
      <c r="N344" s="50">
        <f t="shared" si="234"/>
        <v>87000</v>
      </c>
      <c r="O344" s="387">
        <f t="shared" si="234"/>
        <v>1582000</v>
      </c>
      <c r="P344" s="49">
        <f t="shared" si="233"/>
        <v>4.3535620052770452E-2</v>
      </c>
    </row>
    <row r="345" spans="1:16" x14ac:dyDescent="0.35">
      <c r="A345" s="248" t="s">
        <v>466</v>
      </c>
      <c r="B345" s="294">
        <v>40000</v>
      </c>
      <c r="C345" s="50"/>
      <c r="D345" s="50"/>
      <c r="E345" s="50"/>
      <c r="F345" s="50"/>
      <c r="G345" s="50"/>
      <c r="H345" s="50"/>
      <c r="I345" s="50"/>
      <c r="J345" s="50"/>
      <c r="K345" s="50">
        <f>ROUND(((+$B$345*$B$62)+$B$345)/2,-3)</f>
        <v>21000</v>
      </c>
      <c r="L345" s="50">
        <f>ROUND(((+$B$345*$B$62)+$B$345)/2,-3)</f>
        <v>21000</v>
      </c>
      <c r="M345" s="50"/>
      <c r="N345" s="50">
        <v>0</v>
      </c>
      <c r="O345" s="385">
        <f t="shared" si="228"/>
        <v>42000</v>
      </c>
      <c r="P345" s="49">
        <f t="shared" si="233"/>
        <v>0.05</v>
      </c>
    </row>
    <row r="346" spans="1:16" x14ac:dyDescent="0.35">
      <c r="A346" s="154" t="s">
        <v>530</v>
      </c>
      <c r="B346" s="294">
        <v>1000000</v>
      </c>
      <c r="C346" s="50">
        <f t="shared" ref="C346:N346" si="235">ROUND(((+$B$346*$B$62)+$B$346)/12,-3)</f>
        <v>87000</v>
      </c>
      <c r="D346" s="50">
        <f t="shared" si="235"/>
        <v>87000</v>
      </c>
      <c r="E346" s="50">
        <f t="shared" si="235"/>
        <v>87000</v>
      </c>
      <c r="F346" s="50">
        <f t="shared" si="235"/>
        <v>87000</v>
      </c>
      <c r="G346" s="50">
        <f t="shared" si="235"/>
        <v>87000</v>
      </c>
      <c r="H346" s="50">
        <f t="shared" si="235"/>
        <v>87000</v>
      </c>
      <c r="I346" s="50">
        <f t="shared" si="235"/>
        <v>87000</v>
      </c>
      <c r="J346" s="50">
        <f t="shared" si="235"/>
        <v>87000</v>
      </c>
      <c r="K346" s="50">
        <f t="shared" si="235"/>
        <v>87000</v>
      </c>
      <c r="L346" s="50">
        <f t="shared" si="235"/>
        <v>87000</v>
      </c>
      <c r="M346" s="50">
        <f t="shared" si="235"/>
        <v>87000</v>
      </c>
      <c r="N346" s="50">
        <f t="shared" si="235"/>
        <v>87000</v>
      </c>
      <c r="O346" s="385">
        <f t="shared" si="228"/>
        <v>1044000</v>
      </c>
      <c r="P346" s="49">
        <f t="shared" si="233"/>
        <v>4.3999999999999997E-2</v>
      </c>
    </row>
    <row r="347" spans="1:16" x14ac:dyDescent="0.35">
      <c r="A347" s="154" t="s">
        <v>410</v>
      </c>
      <c r="B347" s="294">
        <v>476000</v>
      </c>
      <c r="C347" s="50"/>
      <c r="D347" s="50"/>
      <c r="E347" s="50"/>
      <c r="F347" s="50">
        <f>ROUND(((+$B$347*$B$62)+$B$347),-3)</f>
        <v>496000</v>
      </c>
      <c r="G347" s="50"/>
      <c r="H347" s="50"/>
      <c r="I347" s="50"/>
      <c r="J347" s="50"/>
      <c r="K347" s="50"/>
      <c r="L347" s="50"/>
      <c r="M347" s="50"/>
      <c r="N347" s="50"/>
      <c r="O347" s="385">
        <f t="shared" si="228"/>
        <v>496000</v>
      </c>
      <c r="P347" s="49">
        <f t="shared" si="233"/>
        <v>4.2016806722689079E-2</v>
      </c>
    </row>
    <row r="348" spans="1:16" x14ac:dyDescent="0.35">
      <c r="A348" s="154" t="s">
        <v>64</v>
      </c>
      <c r="B348" s="300">
        <f t="shared" ref="B348:O348" si="236">SUM(B349:B362)</f>
        <v>41316000</v>
      </c>
      <c r="C348" s="50">
        <f t="shared" si="236"/>
        <v>5064000</v>
      </c>
      <c r="D348" s="50">
        <f t="shared" si="236"/>
        <v>4769000</v>
      </c>
      <c r="E348" s="50">
        <f t="shared" si="236"/>
        <v>3151000</v>
      </c>
      <c r="F348" s="50">
        <f t="shared" si="236"/>
        <v>2763000</v>
      </c>
      <c r="G348" s="50">
        <f t="shared" si="236"/>
        <v>4646000</v>
      </c>
      <c r="H348" s="50">
        <f t="shared" si="236"/>
        <v>3631000</v>
      </c>
      <c r="I348" s="50">
        <f t="shared" si="236"/>
        <v>3966000</v>
      </c>
      <c r="J348" s="50">
        <f t="shared" si="236"/>
        <v>9567000</v>
      </c>
      <c r="K348" s="50">
        <f t="shared" si="236"/>
        <v>3501000</v>
      </c>
      <c r="L348" s="50">
        <f t="shared" si="236"/>
        <v>3047000</v>
      </c>
      <c r="M348" s="50">
        <f t="shared" si="236"/>
        <v>3276000</v>
      </c>
      <c r="N348" s="50">
        <f t="shared" si="236"/>
        <v>2604000</v>
      </c>
      <c r="O348" s="387">
        <f t="shared" si="236"/>
        <v>49985000</v>
      </c>
      <c r="P348" s="49">
        <f t="shared" si="233"/>
        <v>0.20982186078032725</v>
      </c>
    </row>
    <row r="349" spans="1:16" x14ac:dyDescent="0.35">
      <c r="A349" s="154" t="s">
        <v>459</v>
      </c>
      <c r="B349" s="294">
        <v>3385000</v>
      </c>
      <c r="C349" s="50">
        <v>1325000</v>
      </c>
      <c r="D349" s="50">
        <v>1325000</v>
      </c>
      <c r="E349" s="50">
        <v>212000</v>
      </c>
      <c r="F349" s="50">
        <v>159000</v>
      </c>
      <c r="G349" s="50">
        <v>159000</v>
      </c>
      <c r="H349" s="50">
        <v>477000</v>
      </c>
      <c r="I349" s="50">
        <v>477000</v>
      </c>
      <c r="J349" s="50">
        <v>212000</v>
      </c>
      <c r="K349" s="50">
        <v>212000</v>
      </c>
      <c r="L349" s="50">
        <v>106000</v>
      </c>
      <c r="M349" s="50">
        <v>0</v>
      </c>
      <c r="N349" s="50">
        <v>0</v>
      </c>
      <c r="O349" s="385">
        <f t="shared" si="228"/>
        <v>4664000</v>
      </c>
      <c r="P349" s="49">
        <f t="shared" si="233"/>
        <v>0.37784342688330874</v>
      </c>
    </row>
    <row r="350" spans="1:16" x14ac:dyDescent="0.35">
      <c r="A350" s="154" t="s">
        <v>458</v>
      </c>
      <c r="B350" s="294">
        <v>12080000</v>
      </c>
      <c r="C350" s="50">
        <f t="shared" ref="C350:N350" si="237">ROUND(((+$B$350*$B$62)+$B$350)/12,-3)</f>
        <v>1049000</v>
      </c>
      <c r="D350" s="50">
        <f t="shared" si="237"/>
        <v>1049000</v>
      </c>
      <c r="E350" s="50">
        <f t="shared" si="237"/>
        <v>1049000</v>
      </c>
      <c r="F350" s="50">
        <f t="shared" si="237"/>
        <v>1049000</v>
      </c>
      <c r="G350" s="50">
        <f t="shared" si="237"/>
        <v>1049000</v>
      </c>
      <c r="H350" s="50">
        <f t="shared" si="237"/>
        <v>1049000</v>
      </c>
      <c r="I350" s="50">
        <f t="shared" si="237"/>
        <v>1049000</v>
      </c>
      <c r="J350" s="50">
        <f t="shared" si="237"/>
        <v>1049000</v>
      </c>
      <c r="K350" s="50">
        <f t="shared" si="237"/>
        <v>1049000</v>
      </c>
      <c r="L350" s="50">
        <f t="shared" si="237"/>
        <v>1049000</v>
      </c>
      <c r="M350" s="50">
        <f t="shared" si="237"/>
        <v>1049000</v>
      </c>
      <c r="N350" s="50">
        <f t="shared" si="237"/>
        <v>1049000</v>
      </c>
      <c r="O350" s="385">
        <f t="shared" si="228"/>
        <v>12588000</v>
      </c>
      <c r="P350" s="49">
        <f t="shared" si="233"/>
        <v>4.2052980132450332E-2</v>
      </c>
    </row>
    <row r="351" spans="1:16" x14ac:dyDescent="0.35">
      <c r="A351" s="154" t="s">
        <v>531</v>
      </c>
      <c r="B351" s="294">
        <v>1928000</v>
      </c>
      <c r="C351" s="50">
        <f>ROUND(((+$B$351*$B$62)+$B$351)/6,-3)</f>
        <v>335000</v>
      </c>
      <c r="D351" s="50">
        <v>0</v>
      </c>
      <c r="E351" s="50">
        <f>ROUND(((+$B$351*$B$62)+$B$351)/6,-3)</f>
        <v>335000</v>
      </c>
      <c r="F351" s="50">
        <v>0</v>
      </c>
      <c r="G351" s="50">
        <f>ROUND(((+$B$351*$B$62)+$B$351)/6,-3)</f>
        <v>335000</v>
      </c>
      <c r="H351" s="50">
        <v>0</v>
      </c>
      <c r="I351" s="50">
        <f>ROUND(((+$B$351*$B$62)+$B$351)/6,-3)</f>
        <v>335000</v>
      </c>
      <c r="J351" s="50">
        <v>0</v>
      </c>
      <c r="K351" s="50">
        <f>ROUND(((+$B$351*$B$62)+$B$351)/6,-3)</f>
        <v>335000</v>
      </c>
      <c r="L351" s="50">
        <v>0</v>
      </c>
      <c r="M351" s="50">
        <f>ROUND(((+$B$351*$B$62)+$B$351)/6,-3)</f>
        <v>335000</v>
      </c>
      <c r="N351" s="50">
        <v>0</v>
      </c>
      <c r="O351" s="385">
        <f t="shared" si="228"/>
        <v>2010000</v>
      </c>
      <c r="P351" s="49">
        <f t="shared" si="233"/>
        <v>4.2531120331950209E-2</v>
      </c>
    </row>
    <row r="352" spans="1:16" x14ac:dyDescent="0.35">
      <c r="A352" s="154" t="s">
        <v>457</v>
      </c>
      <c r="B352" s="294">
        <v>0</v>
      </c>
      <c r="C352" s="50">
        <v>800000</v>
      </c>
      <c r="D352" s="50"/>
      <c r="E352" s="50"/>
      <c r="F352" s="50"/>
      <c r="G352" s="50"/>
      <c r="H352" s="50"/>
      <c r="I352" s="50"/>
      <c r="J352" s="50"/>
      <c r="K352" s="50">
        <f>ROUND(((+$B$352*$B$62)+$B$352),-3)</f>
        <v>0</v>
      </c>
      <c r="L352" s="50"/>
      <c r="M352" s="50">
        <v>0</v>
      </c>
      <c r="N352" s="50"/>
      <c r="O352" s="385">
        <f t="shared" si="228"/>
        <v>800000</v>
      </c>
      <c r="P352" s="49">
        <v>1</v>
      </c>
    </row>
    <row r="353" spans="1:16" x14ac:dyDescent="0.35">
      <c r="A353" s="154" t="s">
        <v>456</v>
      </c>
      <c r="B353" s="294">
        <v>4900000</v>
      </c>
      <c r="C353" s="50">
        <f t="shared" ref="C353:N353" si="238">ROUND(((+$B$353*$B$62)+$B$353)/12,-3)</f>
        <v>425000</v>
      </c>
      <c r="D353" s="50">
        <f t="shared" si="238"/>
        <v>425000</v>
      </c>
      <c r="E353" s="50">
        <f t="shared" si="238"/>
        <v>425000</v>
      </c>
      <c r="F353" s="50">
        <f t="shared" si="238"/>
        <v>425000</v>
      </c>
      <c r="G353" s="50">
        <f t="shared" si="238"/>
        <v>425000</v>
      </c>
      <c r="H353" s="50">
        <f t="shared" si="238"/>
        <v>425000</v>
      </c>
      <c r="I353" s="50">
        <f t="shared" si="238"/>
        <v>425000</v>
      </c>
      <c r="J353" s="50">
        <f t="shared" si="238"/>
        <v>425000</v>
      </c>
      <c r="K353" s="50">
        <f t="shared" si="238"/>
        <v>425000</v>
      </c>
      <c r="L353" s="50">
        <f t="shared" si="238"/>
        <v>425000</v>
      </c>
      <c r="M353" s="50">
        <f t="shared" si="238"/>
        <v>425000</v>
      </c>
      <c r="N353" s="50">
        <f t="shared" si="238"/>
        <v>425000</v>
      </c>
      <c r="O353" s="385">
        <f t="shared" si="228"/>
        <v>5100000</v>
      </c>
      <c r="P353" s="49">
        <f t="shared" ref="P353:P357" si="239">+(O353-B353)/B353</f>
        <v>4.0816326530612242E-2</v>
      </c>
    </row>
    <row r="354" spans="1:16" x14ac:dyDescent="0.35">
      <c r="A354" s="154" t="s">
        <v>455</v>
      </c>
      <c r="B354" s="294">
        <v>11959000</v>
      </c>
      <c r="C354" s="50">
        <v>1045000</v>
      </c>
      <c r="D354" s="50">
        <v>1045000</v>
      </c>
      <c r="E354" s="50">
        <v>1045000</v>
      </c>
      <c r="F354" s="50">
        <v>1045000</v>
      </c>
      <c r="G354" s="50">
        <v>1045000</v>
      </c>
      <c r="H354" s="50">
        <v>1045000</v>
      </c>
      <c r="I354" s="50">
        <v>1045000</v>
      </c>
      <c r="J354" s="50">
        <v>1045000</v>
      </c>
      <c r="K354" s="50">
        <v>1045000</v>
      </c>
      <c r="L354" s="50">
        <v>1045000</v>
      </c>
      <c r="M354" s="50">
        <v>1045000</v>
      </c>
      <c r="N354" s="50">
        <v>1045000</v>
      </c>
      <c r="O354" s="385">
        <f t="shared" si="228"/>
        <v>12540000</v>
      </c>
      <c r="P354" s="49">
        <f t="shared" si="239"/>
        <v>4.8582657412827163E-2</v>
      </c>
    </row>
    <row r="355" spans="1:16" x14ac:dyDescent="0.35">
      <c r="A355" s="154" t="s">
        <v>454</v>
      </c>
      <c r="B355" s="294">
        <v>5145000</v>
      </c>
      <c r="C355" s="50"/>
      <c r="D355" s="50"/>
      <c r="E355" s="50"/>
      <c r="F355" s="50"/>
      <c r="G355" s="50"/>
      <c r="H355" s="50"/>
      <c r="I355" s="50"/>
      <c r="J355" s="50">
        <f>ROUND(((+$B$355*$B$62)+$B$355),-3)</f>
        <v>5361000</v>
      </c>
      <c r="K355" s="50"/>
      <c r="L355" s="50"/>
      <c r="M355" s="50"/>
      <c r="N355" s="50"/>
      <c r="O355" s="385">
        <f t="shared" si="228"/>
        <v>5361000</v>
      </c>
      <c r="P355" s="49">
        <f t="shared" si="239"/>
        <v>4.198250728862974E-2</v>
      </c>
    </row>
    <row r="356" spans="1:16" x14ac:dyDescent="0.35">
      <c r="A356" s="154" t="s">
        <v>756</v>
      </c>
      <c r="B356" s="294">
        <v>622000</v>
      </c>
      <c r="C356" s="50"/>
      <c r="D356" s="50"/>
      <c r="E356" s="50"/>
      <c r="F356" s="50"/>
      <c r="G356" s="50">
        <f>ROUND(((+$B$356*$B$62)+$B$356),-3)</f>
        <v>648000</v>
      </c>
      <c r="H356" s="50"/>
      <c r="I356" s="50"/>
      <c r="J356" s="50"/>
      <c r="K356" s="50"/>
      <c r="L356" s="50"/>
      <c r="M356" s="50"/>
      <c r="N356" s="50"/>
      <c r="O356" s="385">
        <f t="shared" ref="O356" si="240">SUM(C356:N356)</f>
        <v>648000</v>
      </c>
      <c r="P356" s="49">
        <f t="shared" si="239"/>
        <v>4.1800643086816719E-2</v>
      </c>
    </row>
    <row r="357" spans="1:16" x14ac:dyDescent="0.35">
      <c r="A357" s="154" t="s">
        <v>532</v>
      </c>
      <c r="B357" s="294">
        <v>600000</v>
      </c>
      <c r="C357" s="70">
        <v>65000</v>
      </c>
      <c r="D357" s="70">
        <v>65000</v>
      </c>
      <c r="E357" s="70">
        <v>65000</v>
      </c>
      <c r="F357" s="70">
        <v>65000</v>
      </c>
      <c r="G357" s="70">
        <v>65000</v>
      </c>
      <c r="H357" s="70">
        <v>65000</v>
      </c>
      <c r="I357" s="70">
        <v>65000</v>
      </c>
      <c r="J357" s="70">
        <v>65000</v>
      </c>
      <c r="K357" s="70">
        <v>65000</v>
      </c>
      <c r="L357" s="70">
        <v>65000</v>
      </c>
      <c r="M357" s="70">
        <v>65000</v>
      </c>
      <c r="N357" s="70">
        <v>65000</v>
      </c>
      <c r="O357" s="385">
        <f t="shared" si="228"/>
        <v>780000</v>
      </c>
      <c r="P357" s="49">
        <f t="shared" si="239"/>
        <v>0.3</v>
      </c>
    </row>
    <row r="358" spans="1:16" x14ac:dyDescent="0.35">
      <c r="A358" s="154" t="s">
        <v>782</v>
      </c>
      <c r="B358" s="294">
        <v>0</v>
      </c>
      <c r="C358" s="70">
        <v>0</v>
      </c>
      <c r="D358" s="70">
        <f>(120000+160000)*3</f>
        <v>840000</v>
      </c>
      <c r="E358" s="70">
        <v>0</v>
      </c>
      <c r="F358" s="70">
        <v>0</v>
      </c>
      <c r="G358" s="70">
        <v>0</v>
      </c>
      <c r="H358" s="70">
        <v>0</v>
      </c>
      <c r="I358" s="70">
        <v>0</v>
      </c>
      <c r="J358" s="70">
        <f>(120000+160000)*3</f>
        <v>840000</v>
      </c>
      <c r="K358" s="70">
        <v>0</v>
      </c>
      <c r="L358" s="70">
        <v>0</v>
      </c>
      <c r="M358" s="70">
        <v>0</v>
      </c>
      <c r="N358" s="70">
        <v>0</v>
      </c>
      <c r="O358" s="385">
        <f t="shared" si="228"/>
        <v>1680000</v>
      </c>
      <c r="P358" s="49">
        <v>1</v>
      </c>
    </row>
    <row r="359" spans="1:16" x14ac:dyDescent="0.35">
      <c r="A359" s="154" t="s">
        <v>559</v>
      </c>
      <c r="B359" s="294">
        <v>0</v>
      </c>
      <c r="C359" s="70">
        <v>20000</v>
      </c>
      <c r="D359" s="70">
        <v>20000</v>
      </c>
      <c r="E359" s="70">
        <v>20000</v>
      </c>
      <c r="F359" s="70">
        <v>20000</v>
      </c>
      <c r="G359" s="70">
        <v>20000</v>
      </c>
      <c r="H359" s="70">
        <v>20000</v>
      </c>
      <c r="I359" s="70">
        <v>20000</v>
      </c>
      <c r="J359" s="70">
        <v>20000</v>
      </c>
      <c r="K359" s="70">
        <v>20000</v>
      </c>
      <c r="L359" s="70">
        <v>20000</v>
      </c>
      <c r="M359" s="70">
        <v>20000</v>
      </c>
      <c r="N359" s="70">
        <v>20000</v>
      </c>
      <c r="O359" s="385">
        <f t="shared" si="228"/>
        <v>240000</v>
      </c>
      <c r="P359" s="49">
        <v>1</v>
      </c>
    </row>
    <row r="360" spans="1:16" x14ac:dyDescent="0.35">
      <c r="A360" s="154" t="s">
        <v>786</v>
      </c>
      <c r="B360" s="294">
        <v>50000</v>
      </c>
      <c r="C360" s="70"/>
      <c r="D360" s="70"/>
      <c r="E360" s="70"/>
      <c r="F360" s="70"/>
      <c r="G360" s="50">
        <v>550000</v>
      </c>
      <c r="H360" s="50">
        <v>550000</v>
      </c>
      <c r="I360" s="50">
        <v>550000</v>
      </c>
      <c r="J360" s="50">
        <v>550000</v>
      </c>
      <c r="K360" s="50">
        <v>0</v>
      </c>
      <c r="L360" s="50">
        <v>0</v>
      </c>
      <c r="M360" s="50">
        <v>0</v>
      </c>
      <c r="N360" s="50">
        <v>0</v>
      </c>
      <c r="O360" s="385">
        <f t="shared" si="228"/>
        <v>2200000</v>
      </c>
      <c r="P360" s="49">
        <v>1</v>
      </c>
    </row>
    <row r="361" spans="1:16" x14ac:dyDescent="0.35">
      <c r="A361" s="154" t="s">
        <v>790</v>
      </c>
      <c r="B361" s="294"/>
      <c r="C361" s="70"/>
      <c r="D361" s="70"/>
      <c r="E361" s="70"/>
      <c r="F361" s="70"/>
      <c r="G361" s="50">
        <v>350000</v>
      </c>
      <c r="H361" s="50">
        <v>0</v>
      </c>
      <c r="I361" s="50">
        <v>0</v>
      </c>
      <c r="J361" s="50">
        <v>0</v>
      </c>
      <c r="K361" s="50">
        <v>350000</v>
      </c>
      <c r="L361" s="50"/>
      <c r="M361" s="50"/>
      <c r="N361" s="50"/>
      <c r="O361" s="385">
        <f t="shared" si="228"/>
        <v>700000</v>
      </c>
      <c r="P361" s="49">
        <v>1</v>
      </c>
    </row>
    <row r="362" spans="1:16" x14ac:dyDescent="0.35">
      <c r="A362" s="248" t="s">
        <v>271</v>
      </c>
      <c r="B362" s="294">
        <v>647000</v>
      </c>
      <c r="C362" s="50"/>
      <c r="D362" s="50"/>
      <c r="E362" s="50"/>
      <c r="F362" s="50"/>
      <c r="G362" s="50"/>
      <c r="H362" s="50"/>
      <c r="I362" s="50"/>
      <c r="J362" s="50"/>
      <c r="K362" s="50"/>
      <c r="L362" s="50">
        <f>ROUND(((+$B$362*$B$62)+$B$362)/2,-3)</f>
        <v>337000</v>
      </c>
      <c r="M362" s="50">
        <f>ROUND(((+$B$362*$B$62)+$B$362)/2,-3)</f>
        <v>337000</v>
      </c>
      <c r="N362" s="50">
        <v>0</v>
      </c>
      <c r="O362" s="385">
        <f t="shared" si="228"/>
        <v>674000</v>
      </c>
      <c r="P362" s="49">
        <f t="shared" ref="P362:P396" si="241">+(O362-B362)/B362</f>
        <v>4.1731066460587329E-2</v>
      </c>
    </row>
    <row r="363" spans="1:16" s="31" customFormat="1" x14ac:dyDescent="0.35">
      <c r="A363" s="29" t="s">
        <v>58</v>
      </c>
      <c r="B363" s="300">
        <f t="shared" ref="B363:N363" si="242">SUM(B364:B368)</f>
        <v>97000000</v>
      </c>
      <c r="C363" s="30">
        <f>SUM(C364:C368)</f>
        <v>7534000</v>
      </c>
      <c r="D363" s="30">
        <f t="shared" si="242"/>
        <v>7534000</v>
      </c>
      <c r="E363" s="30">
        <f t="shared" si="242"/>
        <v>7534000</v>
      </c>
      <c r="F363" s="30">
        <f t="shared" si="242"/>
        <v>7534000</v>
      </c>
      <c r="G363" s="30">
        <f t="shared" si="242"/>
        <v>7534000</v>
      </c>
      <c r="H363" s="30">
        <f t="shared" si="242"/>
        <v>7534000</v>
      </c>
      <c r="I363" s="30">
        <f t="shared" si="242"/>
        <v>7534000</v>
      </c>
      <c r="J363" s="30">
        <f t="shared" si="242"/>
        <v>7534000</v>
      </c>
      <c r="K363" s="30">
        <f t="shared" si="242"/>
        <v>7534000</v>
      </c>
      <c r="L363" s="30">
        <f t="shared" si="242"/>
        <v>7534000</v>
      </c>
      <c r="M363" s="30">
        <f t="shared" si="242"/>
        <v>7534000</v>
      </c>
      <c r="N363" s="30">
        <f t="shared" si="242"/>
        <v>7534000</v>
      </c>
      <c r="O363" s="387">
        <f>SUM(O364:O368)</f>
        <v>90408000</v>
      </c>
      <c r="P363" s="49">
        <f t="shared" si="241"/>
        <v>-6.795876288659794E-2</v>
      </c>
    </row>
    <row r="364" spans="1:16" x14ac:dyDescent="0.35">
      <c r="A364" s="154" t="s">
        <v>65</v>
      </c>
      <c r="B364" s="294">
        <v>25000000</v>
      </c>
      <c r="C364" s="50">
        <v>2000000</v>
      </c>
      <c r="D364" s="50">
        <v>2000000</v>
      </c>
      <c r="E364" s="50">
        <v>2000000</v>
      </c>
      <c r="F364" s="50">
        <v>2000000</v>
      </c>
      <c r="G364" s="50">
        <v>2000000</v>
      </c>
      <c r="H364" s="50">
        <v>2000000</v>
      </c>
      <c r="I364" s="50">
        <v>2000000</v>
      </c>
      <c r="J364" s="50">
        <v>2000000</v>
      </c>
      <c r="K364" s="50">
        <v>2000000</v>
      </c>
      <c r="L364" s="50">
        <v>2000000</v>
      </c>
      <c r="M364" s="50">
        <v>2000000</v>
      </c>
      <c r="N364" s="50">
        <v>2000000</v>
      </c>
      <c r="O364" s="385">
        <f t="shared" ref="O364:O368" si="243">SUM(C364:N364)</f>
        <v>24000000</v>
      </c>
      <c r="P364" s="49">
        <f t="shared" si="241"/>
        <v>-0.04</v>
      </c>
    </row>
    <row r="365" spans="1:16" x14ac:dyDescent="0.35">
      <c r="A365" s="154" t="s">
        <v>238</v>
      </c>
      <c r="B365" s="294">
        <v>5000000</v>
      </c>
      <c r="C365" s="50">
        <f t="shared" ref="C365:N365" si="244">ROUND(((+$B$365*$B$62)+$B$365)/12,-3)</f>
        <v>434000</v>
      </c>
      <c r="D365" s="50">
        <f t="shared" si="244"/>
        <v>434000</v>
      </c>
      <c r="E365" s="50">
        <f t="shared" si="244"/>
        <v>434000</v>
      </c>
      <c r="F365" s="50">
        <f t="shared" si="244"/>
        <v>434000</v>
      </c>
      <c r="G365" s="50">
        <f t="shared" si="244"/>
        <v>434000</v>
      </c>
      <c r="H365" s="50">
        <f t="shared" si="244"/>
        <v>434000</v>
      </c>
      <c r="I365" s="50">
        <f t="shared" si="244"/>
        <v>434000</v>
      </c>
      <c r="J365" s="50">
        <f t="shared" si="244"/>
        <v>434000</v>
      </c>
      <c r="K365" s="50">
        <f t="shared" si="244"/>
        <v>434000</v>
      </c>
      <c r="L365" s="50">
        <f t="shared" si="244"/>
        <v>434000</v>
      </c>
      <c r="M365" s="50">
        <f t="shared" si="244"/>
        <v>434000</v>
      </c>
      <c r="N365" s="50">
        <f t="shared" si="244"/>
        <v>434000</v>
      </c>
      <c r="O365" s="385">
        <f t="shared" si="243"/>
        <v>5208000</v>
      </c>
      <c r="P365" s="49">
        <f t="shared" si="241"/>
        <v>4.1599999999999998E-2</v>
      </c>
    </row>
    <row r="366" spans="1:16" x14ac:dyDescent="0.35">
      <c r="A366" s="154" t="s">
        <v>53</v>
      </c>
      <c r="B366" s="294">
        <v>26000000</v>
      </c>
      <c r="C366" s="50">
        <v>1900000</v>
      </c>
      <c r="D366" s="50">
        <v>1900000</v>
      </c>
      <c r="E366" s="50">
        <v>1900000</v>
      </c>
      <c r="F366" s="50">
        <v>1900000</v>
      </c>
      <c r="G366" s="50">
        <v>1900000</v>
      </c>
      <c r="H366" s="50">
        <v>1900000</v>
      </c>
      <c r="I366" s="50">
        <v>1900000</v>
      </c>
      <c r="J366" s="50">
        <v>1900000</v>
      </c>
      <c r="K366" s="50">
        <v>1900000</v>
      </c>
      <c r="L366" s="50">
        <v>1900000</v>
      </c>
      <c r="M366" s="50">
        <v>1900000</v>
      </c>
      <c r="N366" s="50">
        <v>1900000</v>
      </c>
      <c r="O366" s="385">
        <f t="shared" si="243"/>
        <v>22800000</v>
      </c>
      <c r="P366" s="49">
        <f t="shared" si="241"/>
        <v>-0.12307692307692308</v>
      </c>
    </row>
    <row r="367" spans="1:16" x14ac:dyDescent="0.35">
      <c r="A367" s="154" t="s">
        <v>386</v>
      </c>
      <c r="B367" s="294">
        <v>24000000</v>
      </c>
      <c r="C367" s="50">
        <v>1800000</v>
      </c>
      <c r="D367" s="50">
        <v>1800000</v>
      </c>
      <c r="E367" s="50">
        <v>1800000</v>
      </c>
      <c r="F367" s="50">
        <v>1800000</v>
      </c>
      <c r="G367" s="50">
        <v>1800000</v>
      </c>
      <c r="H367" s="50">
        <v>1800000</v>
      </c>
      <c r="I367" s="50">
        <v>1800000</v>
      </c>
      <c r="J367" s="50">
        <v>1800000</v>
      </c>
      <c r="K367" s="50">
        <v>1800000</v>
      </c>
      <c r="L367" s="50">
        <v>1800000</v>
      </c>
      <c r="M367" s="50">
        <v>1800000</v>
      </c>
      <c r="N367" s="50">
        <v>1800000</v>
      </c>
      <c r="O367" s="385">
        <f t="shared" si="243"/>
        <v>21600000</v>
      </c>
      <c r="P367" s="49">
        <f t="shared" si="241"/>
        <v>-0.1</v>
      </c>
    </row>
    <row r="368" spans="1:16" x14ac:dyDescent="0.35">
      <c r="A368" s="154" t="s">
        <v>66</v>
      </c>
      <c r="B368" s="294">
        <v>17000000</v>
      </c>
      <c r="C368" s="50">
        <v>1400000</v>
      </c>
      <c r="D368" s="50">
        <v>1400000</v>
      </c>
      <c r="E368" s="50">
        <v>1400000</v>
      </c>
      <c r="F368" s="50">
        <v>1400000</v>
      </c>
      <c r="G368" s="50">
        <v>1400000</v>
      </c>
      <c r="H368" s="50">
        <v>1400000</v>
      </c>
      <c r="I368" s="50">
        <v>1400000</v>
      </c>
      <c r="J368" s="50">
        <v>1400000</v>
      </c>
      <c r="K368" s="50">
        <v>1400000</v>
      </c>
      <c r="L368" s="50">
        <v>1400000</v>
      </c>
      <c r="M368" s="50">
        <v>1400000</v>
      </c>
      <c r="N368" s="50">
        <v>1400000</v>
      </c>
      <c r="O368" s="385">
        <f t="shared" si="243"/>
        <v>16800000</v>
      </c>
      <c r="P368" s="49">
        <f t="shared" si="241"/>
        <v>-1.1764705882352941E-2</v>
      </c>
    </row>
    <row r="369" spans="1:16" s="31" customFormat="1" x14ac:dyDescent="0.35">
      <c r="A369" s="29" t="s">
        <v>67</v>
      </c>
      <c r="B369" s="300">
        <f>+B370</f>
        <v>13421600</v>
      </c>
      <c r="C369" s="30">
        <f>+C370</f>
        <v>1217000</v>
      </c>
      <c r="D369" s="30">
        <f t="shared" ref="D369:O369" si="245">+D370</f>
        <v>1132000</v>
      </c>
      <c r="E369" s="30">
        <f t="shared" si="245"/>
        <v>2393000</v>
      </c>
      <c r="F369" s="30">
        <f t="shared" si="245"/>
        <v>1132000</v>
      </c>
      <c r="G369" s="30">
        <f t="shared" si="245"/>
        <v>1132000</v>
      </c>
      <c r="H369" s="30">
        <f t="shared" si="245"/>
        <v>1132000</v>
      </c>
      <c r="I369" s="30">
        <f t="shared" si="245"/>
        <v>10921000</v>
      </c>
      <c r="J369" s="30">
        <f t="shared" si="245"/>
        <v>1132000</v>
      </c>
      <c r="K369" s="30">
        <f t="shared" si="245"/>
        <v>1132000</v>
      </c>
      <c r="L369" s="30">
        <f t="shared" si="245"/>
        <v>1399000</v>
      </c>
      <c r="M369" s="30">
        <f t="shared" si="245"/>
        <v>1132000</v>
      </c>
      <c r="N369" s="30">
        <f t="shared" si="245"/>
        <v>1132000</v>
      </c>
      <c r="O369" s="387">
        <f t="shared" si="245"/>
        <v>24986000</v>
      </c>
      <c r="P369" s="49">
        <f t="shared" si="241"/>
        <v>0.8616260356440365</v>
      </c>
    </row>
    <row r="370" spans="1:16" x14ac:dyDescent="0.35">
      <c r="A370" s="154" t="s">
        <v>68</v>
      </c>
      <c r="B370" s="300">
        <f>SUM(B371:B378)</f>
        <v>13421600</v>
      </c>
      <c r="C370" s="50">
        <f>SUM(C371:C378)</f>
        <v>1217000</v>
      </c>
      <c r="D370" s="50">
        <f t="shared" ref="D370:O370" si="246">SUM(D371:D378)</f>
        <v>1132000</v>
      </c>
      <c r="E370" s="50">
        <f t="shared" si="246"/>
        <v>2393000</v>
      </c>
      <c r="F370" s="50">
        <f t="shared" si="246"/>
        <v>1132000</v>
      </c>
      <c r="G370" s="50">
        <f t="shared" si="246"/>
        <v>1132000</v>
      </c>
      <c r="H370" s="50">
        <f t="shared" si="246"/>
        <v>1132000</v>
      </c>
      <c r="I370" s="50">
        <f t="shared" si="246"/>
        <v>10921000</v>
      </c>
      <c r="J370" s="50">
        <f t="shared" si="246"/>
        <v>1132000</v>
      </c>
      <c r="K370" s="50">
        <f t="shared" si="246"/>
        <v>1132000</v>
      </c>
      <c r="L370" s="50">
        <f t="shared" si="246"/>
        <v>1399000</v>
      </c>
      <c r="M370" s="50">
        <f t="shared" si="246"/>
        <v>1132000</v>
      </c>
      <c r="N370" s="50">
        <f t="shared" si="246"/>
        <v>1132000</v>
      </c>
      <c r="O370" s="386">
        <f t="shared" si="246"/>
        <v>24986000</v>
      </c>
      <c r="P370" s="49">
        <f t="shared" si="241"/>
        <v>0.8616260356440365</v>
      </c>
    </row>
    <row r="371" spans="1:16" x14ac:dyDescent="0.35">
      <c r="A371" s="154" t="s">
        <v>731</v>
      </c>
      <c r="B371" s="294">
        <v>81600</v>
      </c>
      <c r="C371" s="50">
        <f>ROUND(((+$B$371*$B$62)+$B$371),-3)</f>
        <v>85000</v>
      </c>
      <c r="D371" s="50"/>
      <c r="E371" s="50"/>
      <c r="F371" s="50"/>
      <c r="G371" s="50"/>
      <c r="H371" s="50">
        <v>0</v>
      </c>
      <c r="I371" s="50"/>
      <c r="J371" s="50">
        <v>0</v>
      </c>
      <c r="K371" s="50"/>
      <c r="L371" s="50"/>
      <c r="M371" s="50"/>
      <c r="N371" s="50"/>
      <c r="O371" s="385">
        <f t="shared" ref="O371:O378" si="247">SUM(C371:N371)</f>
        <v>85000</v>
      </c>
      <c r="P371" s="49">
        <f t="shared" si="241"/>
        <v>4.1666666666666664E-2</v>
      </c>
    </row>
    <row r="372" spans="1:16" x14ac:dyDescent="0.35">
      <c r="A372" s="154" t="s">
        <v>732</v>
      </c>
      <c r="B372" s="294">
        <v>256000</v>
      </c>
      <c r="C372" s="50"/>
      <c r="D372" s="50"/>
      <c r="E372" s="50"/>
      <c r="F372" s="50"/>
      <c r="G372" s="50"/>
      <c r="H372" s="50"/>
      <c r="I372" s="50">
        <f>ROUND(((+$B$372*$B$62)+$B$372),-3)</f>
        <v>267000</v>
      </c>
      <c r="J372" s="50"/>
      <c r="K372" s="50"/>
      <c r="L372" s="50"/>
      <c r="M372" s="50"/>
      <c r="N372" s="50"/>
      <c r="O372" s="385">
        <f t="shared" ref="O372:O373" si="248">SUM(C372:N372)</f>
        <v>267000</v>
      </c>
      <c r="P372" s="49">
        <f t="shared" si="241"/>
        <v>4.296875E-2</v>
      </c>
    </row>
    <row r="373" spans="1:16" x14ac:dyDescent="0.35">
      <c r="A373" s="154" t="s">
        <v>733</v>
      </c>
      <c r="B373" s="294">
        <v>256000</v>
      </c>
      <c r="C373" s="50"/>
      <c r="D373" s="50"/>
      <c r="E373" s="50"/>
      <c r="F373" s="50"/>
      <c r="G373" s="50"/>
      <c r="H373" s="50"/>
      <c r="I373" s="50"/>
      <c r="J373" s="50"/>
      <c r="K373" s="50"/>
      <c r="L373" s="50">
        <f>ROUND(((+$B$373*$B$62)+$B$373),-3)</f>
        <v>267000</v>
      </c>
      <c r="M373" s="50"/>
      <c r="N373" s="50"/>
      <c r="O373" s="385">
        <f t="shared" si="248"/>
        <v>267000</v>
      </c>
      <c r="P373" s="49">
        <f t="shared" si="241"/>
        <v>4.296875E-2</v>
      </c>
    </row>
    <row r="374" spans="1:16" x14ac:dyDescent="0.35">
      <c r="A374" s="154" t="s">
        <v>730</v>
      </c>
      <c r="B374" s="294">
        <v>2480000</v>
      </c>
      <c r="C374" s="50">
        <f t="shared" ref="C374:N374" si="249">ROUND(((+$B$374*$B$62)+$B$374)/12,-3)</f>
        <v>215000</v>
      </c>
      <c r="D374" s="50">
        <f t="shared" si="249"/>
        <v>215000</v>
      </c>
      <c r="E374" s="50">
        <f t="shared" si="249"/>
        <v>215000</v>
      </c>
      <c r="F374" s="50">
        <f t="shared" si="249"/>
        <v>215000</v>
      </c>
      <c r="G374" s="50">
        <f t="shared" si="249"/>
        <v>215000</v>
      </c>
      <c r="H374" s="50">
        <f t="shared" si="249"/>
        <v>215000</v>
      </c>
      <c r="I374" s="50">
        <f t="shared" si="249"/>
        <v>215000</v>
      </c>
      <c r="J374" s="50">
        <f t="shared" si="249"/>
        <v>215000</v>
      </c>
      <c r="K374" s="50">
        <f t="shared" si="249"/>
        <v>215000</v>
      </c>
      <c r="L374" s="50">
        <f t="shared" si="249"/>
        <v>215000</v>
      </c>
      <c r="M374" s="50">
        <f t="shared" si="249"/>
        <v>215000</v>
      </c>
      <c r="N374" s="50">
        <f t="shared" si="249"/>
        <v>215000</v>
      </c>
      <c r="O374" s="385">
        <f t="shared" ref="O374" si="250">SUM(C374:N374)</f>
        <v>2580000</v>
      </c>
      <c r="P374" s="49">
        <f t="shared" si="241"/>
        <v>4.0322580645161289E-2</v>
      </c>
    </row>
    <row r="375" spans="1:16" x14ac:dyDescent="0.35">
      <c r="A375" s="154" t="s">
        <v>121</v>
      </c>
      <c r="B375" s="294">
        <v>2420000</v>
      </c>
      <c r="C375" s="50"/>
      <c r="D375" s="50"/>
      <c r="E375" s="50">
        <f>ROUND(((+$B$375*$B$62)+$B$375)/2,-3)</f>
        <v>1261000</v>
      </c>
      <c r="F375" s="50"/>
      <c r="G375" s="50"/>
      <c r="H375" s="50">
        <f t="shared" ref="H375" si="251">+G375</f>
        <v>0</v>
      </c>
      <c r="I375" s="50">
        <f>ROUND(((+$B$375*$B$62)+$B$375)/2,-3)</f>
        <v>1261000</v>
      </c>
      <c r="J375" s="50"/>
      <c r="K375" s="50">
        <f t="shared" ref="K375" si="252">+J375</f>
        <v>0</v>
      </c>
      <c r="L375" s="50">
        <f t="shared" ref="L375" si="253">+K375</f>
        <v>0</v>
      </c>
      <c r="M375" s="50">
        <f t="shared" ref="M375" si="254">+L375</f>
        <v>0</v>
      </c>
      <c r="N375" s="50">
        <f t="shared" ref="N375" si="255">+M375</f>
        <v>0</v>
      </c>
      <c r="O375" s="385">
        <f t="shared" si="247"/>
        <v>2522000</v>
      </c>
      <c r="P375" s="49">
        <f t="shared" si="241"/>
        <v>4.2148760330578509E-2</v>
      </c>
    </row>
    <row r="376" spans="1:16" x14ac:dyDescent="0.35">
      <c r="A376" s="154" t="s">
        <v>823</v>
      </c>
      <c r="B376" s="294">
        <v>0</v>
      </c>
      <c r="C376" s="50">
        <v>917000</v>
      </c>
      <c r="D376" s="50">
        <v>917000</v>
      </c>
      <c r="E376" s="50">
        <v>917000</v>
      </c>
      <c r="F376" s="50">
        <v>917000</v>
      </c>
      <c r="G376" s="50">
        <v>917000</v>
      </c>
      <c r="H376" s="50">
        <v>917000</v>
      </c>
      <c r="I376" s="50">
        <v>917000</v>
      </c>
      <c r="J376" s="50">
        <v>917000</v>
      </c>
      <c r="K376" s="50">
        <v>917000</v>
      </c>
      <c r="L376" s="50">
        <v>917000</v>
      </c>
      <c r="M376" s="50">
        <v>917000</v>
      </c>
      <c r="N376" s="50">
        <v>917000</v>
      </c>
      <c r="O376" s="385">
        <f t="shared" si="247"/>
        <v>11004000</v>
      </c>
      <c r="P376" s="49">
        <v>1</v>
      </c>
    </row>
    <row r="377" spans="1:16" x14ac:dyDescent="0.35">
      <c r="A377" s="154" t="s">
        <v>70</v>
      </c>
      <c r="B377" s="294">
        <v>3613000</v>
      </c>
      <c r="C377" s="50"/>
      <c r="D377" s="50"/>
      <c r="E377" s="50"/>
      <c r="F377" s="50"/>
      <c r="G377" s="50"/>
      <c r="H377" s="50"/>
      <c r="I377" s="50">
        <f>ROUND(((+$B$377*$B$62)+$B$377)/1,-3)</f>
        <v>3765000</v>
      </c>
      <c r="J377" s="50"/>
      <c r="K377" s="50"/>
      <c r="L377" s="50"/>
      <c r="M377" s="50"/>
      <c r="N377" s="50"/>
      <c r="O377" s="385">
        <f t="shared" si="247"/>
        <v>3765000</v>
      </c>
      <c r="P377" s="49">
        <f t="shared" si="241"/>
        <v>4.2070301688347633E-2</v>
      </c>
    </row>
    <row r="378" spans="1:16" x14ac:dyDescent="0.35">
      <c r="A378" s="252" t="s">
        <v>734</v>
      </c>
      <c r="B378" s="294">
        <v>4315000</v>
      </c>
      <c r="C378" s="74">
        <v>0</v>
      </c>
      <c r="D378" s="73">
        <v>0</v>
      </c>
      <c r="E378" s="73">
        <v>0</v>
      </c>
      <c r="F378" s="73">
        <v>0</v>
      </c>
      <c r="G378" s="73">
        <v>0</v>
      </c>
      <c r="H378" s="73">
        <v>0</v>
      </c>
      <c r="I378" s="50">
        <f>ROUND(((+$B$378*$B$62)+$B$378)/1,-3)</f>
        <v>4496000</v>
      </c>
      <c r="J378" s="73">
        <v>0</v>
      </c>
      <c r="K378" s="73">
        <v>0</v>
      </c>
      <c r="L378" s="73">
        <v>0</v>
      </c>
      <c r="M378" s="73">
        <v>0</v>
      </c>
      <c r="N378" s="73">
        <v>0</v>
      </c>
      <c r="O378" s="385">
        <f t="shared" si="247"/>
        <v>4496000</v>
      </c>
      <c r="P378" s="49">
        <f t="shared" si="241"/>
        <v>4.1946697566628041E-2</v>
      </c>
    </row>
    <row r="379" spans="1:16" s="31" customFormat="1" x14ac:dyDescent="0.35">
      <c r="A379" s="29" t="s">
        <v>71</v>
      </c>
      <c r="B379" s="300">
        <f t="shared" ref="B379:O379" si="256">+B380+B385+B388+B392+B397+B398+B423+B424</f>
        <v>84441648</v>
      </c>
      <c r="C379" s="30">
        <f t="shared" si="256"/>
        <v>6803500</v>
      </c>
      <c r="D379" s="30">
        <f t="shared" si="256"/>
        <v>9858500</v>
      </c>
      <c r="E379" s="30">
        <f t="shared" si="256"/>
        <v>8689500</v>
      </c>
      <c r="F379" s="30">
        <f t="shared" si="256"/>
        <v>7579500</v>
      </c>
      <c r="G379" s="30">
        <f t="shared" si="256"/>
        <v>7334500</v>
      </c>
      <c r="H379" s="30">
        <f t="shared" si="256"/>
        <v>8117500</v>
      </c>
      <c r="I379" s="30">
        <f t="shared" si="256"/>
        <v>7374500</v>
      </c>
      <c r="J379" s="30">
        <f t="shared" si="256"/>
        <v>10028500</v>
      </c>
      <c r="K379" s="30">
        <f t="shared" si="256"/>
        <v>10500500</v>
      </c>
      <c r="L379" s="30">
        <f t="shared" si="256"/>
        <v>8311500</v>
      </c>
      <c r="M379" s="30">
        <f t="shared" si="256"/>
        <v>11224500</v>
      </c>
      <c r="N379" s="30">
        <f t="shared" si="256"/>
        <v>6656500</v>
      </c>
      <c r="O379" s="387">
        <f t="shared" si="256"/>
        <v>102479000</v>
      </c>
      <c r="P379" s="49">
        <f t="shared" si="241"/>
        <v>0.2136072948268371</v>
      </c>
    </row>
    <row r="380" spans="1:16" x14ac:dyDescent="0.35">
      <c r="A380" s="154" t="s">
        <v>72</v>
      </c>
      <c r="B380" s="300">
        <f t="shared" ref="B380:O380" si="257">SUM(B381:B384)</f>
        <v>1856000</v>
      </c>
      <c r="C380" s="50">
        <f t="shared" si="257"/>
        <v>0</v>
      </c>
      <c r="D380" s="50">
        <f t="shared" si="257"/>
        <v>748000</v>
      </c>
      <c r="E380" s="50">
        <f t="shared" si="257"/>
        <v>0</v>
      </c>
      <c r="F380" s="50">
        <f t="shared" si="257"/>
        <v>0</v>
      </c>
      <c r="G380" s="50">
        <f t="shared" si="257"/>
        <v>0</v>
      </c>
      <c r="H380" s="50">
        <f t="shared" si="257"/>
        <v>727000</v>
      </c>
      <c r="I380" s="50">
        <f t="shared" si="257"/>
        <v>0</v>
      </c>
      <c r="J380" s="50">
        <f t="shared" si="257"/>
        <v>0</v>
      </c>
      <c r="K380" s="50">
        <f t="shared" si="257"/>
        <v>167000</v>
      </c>
      <c r="L380" s="50">
        <f t="shared" si="257"/>
        <v>0</v>
      </c>
      <c r="M380" s="50">
        <f t="shared" si="257"/>
        <v>292000</v>
      </c>
      <c r="N380" s="50">
        <f t="shared" si="257"/>
        <v>0</v>
      </c>
      <c r="O380" s="387">
        <f t="shared" si="257"/>
        <v>1934000</v>
      </c>
      <c r="P380" s="49">
        <f t="shared" si="241"/>
        <v>4.2025862068965518E-2</v>
      </c>
    </row>
    <row r="381" spans="1:16" x14ac:dyDescent="0.35">
      <c r="A381" s="154" t="s">
        <v>444</v>
      </c>
      <c r="B381" s="294">
        <v>718000</v>
      </c>
      <c r="C381" s="50">
        <v>0</v>
      </c>
      <c r="D381" s="50">
        <f>ROUND(((+$B$381*$B$62)+$B$381),-3)</f>
        <v>748000</v>
      </c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385">
        <f t="shared" ref="O381:O441" si="258">SUM(C381:N381)</f>
        <v>748000</v>
      </c>
      <c r="P381" s="49">
        <f t="shared" si="241"/>
        <v>4.1782729805013928E-2</v>
      </c>
    </row>
    <row r="382" spans="1:16" x14ac:dyDescent="0.35">
      <c r="A382" s="154" t="s">
        <v>737</v>
      </c>
      <c r="B382" s="294">
        <v>698000</v>
      </c>
      <c r="C382" s="50"/>
      <c r="D382" s="50"/>
      <c r="E382" s="50"/>
      <c r="F382" s="50"/>
      <c r="G382" s="50"/>
      <c r="H382" s="50">
        <f>ROUND(((+$B$382*$B$62)+$B$382),-3)</f>
        <v>727000</v>
      </c>
      <c r="I382" s="50"/>
      <c r="J382" s="50"/>
      <c r="K382" s="50"/>
      <c r="L382" s="50"/>
      <c r="M382" s="50"/>
      <c r="N382" s="50"/>
      <c r="O382" s="385">
        <f t="shared" si="258"/>
        <v>727000</v>
      </c>
      <c r="P382" s="49">
        <f t="shared" si="241"/>
        <v>4.1547277936962751E-2</v>
      </c>
    </row>
    <row r="383" spans="1:16" x14ac:dyDescent="0.35">
      <c r="A383" s="154" t="s">
        <v>272</v>
      </c>
      <c r="B383" s="294">
        <v>280000</v>
      </c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>
        <f>ROUND(((+$B$383*$B$62)+$B$383),-3)</f>
        <v>292000</v>
      </c>
      <c r="N383" s="50"/>
      <c r="O383" s="385">
        <f t="shared" si="258"/>
        <v>292000</v>
      </c>
      <c r="P383" s="49">
        <f t="shared" si="241"/>
        <v>4.2857142857142858E-2</v>
      </c>
    </row>
    <row r="384" spans="1:16" x14ac:dyDescent="0.35">
      <c r="A384" s="154" t="s">
        <v>264</v>
      </c>
      <c r="B384" s="294">
        <v>160000</v>
      </c>
      <c r="C384" s="50">
        <v>0</v>
      </c>
      <c r="D384" s="50"/>
      <c r="E384" s="50"/>
      <c r="F384" s="50"/>
      <c r="G384" s="50"/>
      <c r="H384" s="50"/>
      <c r="I384" s="50"/>
      <c r="J384" s="50"/>
      <c r="K384" s="50">
        <f>ROUND(((+$B$384*$B$62)+$B$384),-3)</f>
        <v>167000</v>
      </c>
      <c r="L384" s="50"/>
      <c r="M384" s="50"/>
      <c r="N384" s="50"/>
      <c r="O384" s="385">
        <f t="shared" si="258"/>
        <v>167000</v>
      </c>
      <c r="P384" s="49">
        <f t="shared" si="241"/>
        <v>4.3749999999999997E-2</v>
      </c>
    </row>
    <row r="385" spans="1:16" x14ac:dyDescent="0.35">
      <c r="A385" s="154" t="s">
        <v>73</v>
      </c>
      <c r="B385" s="300">
        <f t="shared" ref="B385:O385" si="259">SUM(B386:B387)</f>
        <v>10844000</v>
      </c>
      <c r="C385" s="50">
        <f>SUM(C386:C387)</f>
        <v>942000</v>
      </c>
      <c r="D385" s="50">
        <f t="shared" si="259"/>
        <v>942000</v>
      </c>
      <c r="E385" s="50">
        <f t="shared" si="259"/>
        <v>942000</v>
      </c>
      <c r="F385" s="50">
        <f t="shared" si="259"/>
        <v>942000</v>
      </c>
      <c r="G385" s="50">
        <f t="shared" si="259"/>
        <v>942000</v>
      </c>
      <c r="H385" s="50">
        <f t="shared" si="259"/>
        <v>942000</v>
      </c>
      <c r="I385" s="50">
        <f t="shared" si="259"/>
        <v>942000</v>
      </c>
      <c r="J385" s="50">
        <f t="shared" si="259"/>
        <v>942000</v>
      </c>
      <c r="K385" s="50">
        <f t="shared" si="259"/>
        <v>942000</v>
      </c>
      <c r="L385" s="50">
        <f t="shared" si="259"/>
        <v>942000</v>
      </c>
      <c r="M385" s="50">
        <f t="shared" si="259"/>
        <v>942000</v>
      </c>
      <c r="N385" s="50">
        <f t="shared" si="259"/>
        <v>942000</v>
      </c>
      <c r="O385" s="387">
        <f t="shared" si="259"/>
        <v>11304000</v>
      </c>
      <c r="P385" s="49">
        <f t="shared" si="241"/>
        <v>4.2419771302102546E-2</v>
      </c>
    </row>
    <row r="386" spans="1:16" x14ac:dyDescent="0.35">
      <c r="A386" s="154" t="s">
        <v>74</v>
      </c>
      <c r="B386" s="294">
        <v>4844000</v>
      </c>
      <c r="C386" s="50">
        <f t="shared" ref="C386:N386" si="260">ROUND(((+$B$386*$B$62)+$B$386)/12,-3)</f>
        <v>421000</v>
      </c>
      <c r="D386" s="50">
        <f t="shared" si="260"/>
        <v>421000</v>
      </c>
      <c r="E386" s="50">
        <f t="shared" si="260"/>
        <v>421000</v>
      </c>
      <c r="F386" s="50">
        <f t="shared" si="260"/>
        <v>421000</v>
      </c>
      <c r="G386" s="50">
        <f t="shared" si="260"/>
        <v>421000</v>
      </c>
      <c r="H386" s="50">
        <f t="shared" si="260"/>
        <v>421000</v>
      </c>
      <c r="I386" s="50">
        <f t="shared" si="260"/>
        <v>421000</v>
      </c>
      <c r="J386" s="50">
        <f t="shared" si="260"/>
        <v>421000</v>
      </c>
      <c r="K386" s="50">
        <f t="shared" si="260"/>
        <v>421000</v>
      </c>
      <c r="L386" s="50">
        <f t="shared" si="260"/>
        <v>421000</v>
      </c>
      <c r="M386" s="50">
        <f t="shared" si="260"/>
        <v>421000</v>
      </c>
      <c r="N386" s="50">
        <f t="shared" si="260"/>
        <v>421000</v>
      </c>
      <c r="O386" s="385">
        <f t="shared" si="258"/>
        <v>5052000</v>
      </c>
      <c r="P386" s="49">
        <f t="shared" si="241"/>
        <v>4.2939719240297276E-2</v>
      </c>
    </row>
    <row r="387" spans="1:16" x14ac:dyDescent="0.35">
      <c r="A387" s="154" t="s">
        <v>75</v>
      </c>
      <c r="B387" s="294">
        <v>6000000</v>
      </c>
      <c r="C387" s="50">
        <f t="shared" ref="C387:N387" si="261">ROUND(((+$B$387*$B$62)+$B$387)/12,-3)</f>
        <v>521000</v>
      </c>
      <c r="D387" s="50">
        <f t="shared" si="261"/>
        <v>521000</v>
      </c>
      <c r="E387" s="50">
        <f t="shared" si="261"/>
        <v>521000</v>
      </c>
      <c r="F387" s="50">
        <f t="shared" si="261"/>
        <v>521000</v>
      </c>
      <c r="G387" s="50">
        <f t="shared" si="261"/>
        <v>521000</v>
      </c>
      <c r="H387" s="50">
        <f t="shared" si="261"/>
        <v>521000</v>
      </c>
      <c r="I387" s="50">
        <f t="shared" si="261"/>
        <v>521000</v>
      </c>
      <c r="J387" s="50">
        <f t="shared" si="261"/>
        <v>521000</v>
      </c>
      <c r="K387" s="50">
        <f t="shared" si="261"/>
        <v>521000</v>
      </c>
      <c r="L387" s="50">
        <f t="shared" si="261"/>
        <v>521000</v>
      </c>
      <c r="M387" s="50">
        <f t="shared" si="261"/>
        <v>521000</v>
      </c>
      <c r="N387" s="50">
        <f t="shared" si="261"/>
        <v>521000</v>
      </c>
      <c r="O387" s="385">
        <f t="shared" si="258"/>
        <v>6252000</v>
      </c>
      <c r="P387" s="49">
        <f t="shared" si="241"/>
        <v>4.2000000000000003E-2</v>
      </c>
    </row>
    <row r="388" spans="1:16" x14ac:dyDescent="0.35">
      <c r="A388" s="154" t="s">
        <v>76</v>
      </c>
      <c r="B388" s="300">
        <f>SUM(B389:B391)</f>
        <v>26950000</v>
      </c>
      <c r="C388" s="50">
        <f>SUM(C389:C391)</f>
        <v>2340000</v>
      </c>
      <c r="D388" s="50">
        <f t="shared" ref="D388:O388" si="262">SUM(D389:D391)</f>
        <v>2340000</v>
      </c>
      <c r="E388" s="50">
        <f t="shared" si="262"/>
        <v>2340000</v>
      </c>
      <c r="F388" s="50">
        <f t="shared" si="262"/>
        <v>2340000</v>
      </c>
      <c r="G388" s="50">
        <f t="shared" si="262"/>
        <v>2340000</v>
      </c>
      <c r="H388" s="50">
        <f t="shared" si="262"/>
        <v>2340000</v>
      </c>
      <c r="I388" s="50">
        <f t="shared" si="262"/>
        <v>2340000</v>
      </c>
      <c r="J388" s="50">
        <f t="shared" si="262"/>
        <v>2340000</v>
      </c>
      <c r="K388" s="50">
        <f t="shared" si="262"/>
        <v>2340000</v>
      </c>
      <c r="L388" s="50">
        <f t="shared" si="262"/>
        <v>2340000</v>
      </c>
      <c r="M388" s="50">
        <f t="shared" si="262"/>
        <v>2340000</v>
      </c>
      <c r="N388" s="50">
        <f t="shared" si="262"/>
        <v>2340000</v>
      </c>
      <c r="O388" s="387">
        <f t="shared" si="262"/>
        <v>28080000</v>
      </c>
      <c r="P388" s="49">
        <f t="shared" si="241"/>
        <v>4.1929499072356213E-2</v>
      </c>
    </row>
    <row r="389" spans="1:16" x14ac:dyDescent="0.35">
      <c r="A389" s="154" t="s">
        <v>77</v>
      </c>
      <c r="B389" s="294">
        <v>8000000</v>
      </c>
      <c r="C389" s="50">
        <f t="shared" ref="C389:N389" si="263">ROUND(((+$B$389*$B$62)+$B$389)/12,-3)</f>
        <v>695000</v>
      </c>
      <c r="D389" s="50">
        <f t="shared" si="263"/>
        <v>695000</v>
      </c>
      <c r="E389" s="50">
        <f t="shared" si="263"/>
        <v>695000</v>
      </c>
      <c r="F389" s="50">
        <f t="shared" si="263"/>
        <v>695000</v>
      </c>
      <c r="G389" s="50">
        <f t="shared" si="263"/>
        <v>695000</v>
      </c>
      <c r="H389" s="50">
        <f t="shared" si="263"/>
        <v>695000</v>
      </c>
      <c r="I389" s="50">
        <f t="shared" si="263"/>
        <v>695000</v>
      </c>
      <c r="J389" s="50">
        <f t="shared" si="263"/>
        <v>695000</v>
      </c>
      <c r="K389" s="50">
        <f t="shared" si="263"/>
        <v>695000</v>
      </c>
      <c r="L389" s="50">
        <f t="shared" si="263"/>
        <v>695000</v>
      </c>
      <c r="M389" s="50">
        <f t="shared" si="263"/>
        <v>695000</v>
      </c>
      <c r="N389" s="50">
        <f t="shared" si="263"/>
        <v>695000</v>
      </c>
      <c r="O389" s="385">
        <f t="shared" si="258"/>
        <v>8340000</v>
      </c>
      <c r="P389" s="49">
        <f t="shared" si="241"/>
        <v>4.2500000000000003E-2</v>
      </c>
    </row>
    <row r="390" spans="1:16" x14ac:dyDescent="0.35">
      <c r="A390" s="154" t="s">
        <v>738</v>
      </c>
      <c r="B390" s="294">
        <v>18900000</v>
      </c>
      <c r="C390" s="50">
        <f t="shared" ref="C390:N390" si="264">ROUND(((+$B$390*$B$62)+$B$390)/12,-3)</f>
        <v>1641000</v>
      </c>
      <c r="D390" s="50">
        <f t="shared" si="264"/>
        <v>1641000</v>
      </c>
      <c r="E390" s="50">
        <f t="shared" si="264"/>
        <v>1641000</v>
      </c>
      <c r="F390" s="50">
        <f t="shared" si="264"/>
        <v>1641000</v>
      </c>
      <c r="G390" s="50">
        <f t="shared" si="264"/>
        <v>1641000</v>
      </c>
      <c r="H390" s="50">
        <f t="shared" si="264"/>
        <v>1641000</v>
      </c>
      <c r="I390" s="50">
        <f t="shared" si="264"/>
        <v>1641000</v>
      </c>
      <c r="J390" s="50">
        <f t="shared" si="264"/>
        <v>1641000</v>
      </c>
      <c r="K390" s="50">
        <f t="shared" si="264"/>
        <v>1641000</v>
      </c>
      <c r="L390" s="50">
        <f t="shared" si="264"/>
        <v>1641000</v>
      </c>
      <c r="M390" s="50">
        <f t="shared" si="264"/>
        <v>1641000</v>
      </c>
      <c r="N390" s="50">
        <f t="shared" si="264"/>
        <v>1641000</v>
      </c>
      <c r="O390" s="385">
        <f t="shared" si="258"/>
        <v>19692000</v>
      </c>
      <c r="P390" s="49">
        <f t="shared" si="241"/>
        <v>4.1904761904761903E-2</v>
      </c>
    </row>
    <row r="391" spans="1:16" x14ac:dyDescent="0.35">
      <c r="A391" s="154" t="s">
        <v>78</v>
      </c>
      <c r="B391" s="294">
        <v>50000</v>
      </c>
      <c r="C391" s="50">
        <f t="shared" ref="C391:N391" si="265">ROUND(((+$B$391*$B$62)+$B$391)/12,-3)</f>
        <v>4000</v>
      </c>
      <c r="D391" s="50">
        <f t="shared" si="265"/>
        <v>4000</v>
      </c>
      <c r="E391" s="50">
        <f t="shared" si="265"/>
        <v>4000</v>
      </c>
      <c r="F391" s="50">
        <f t="shared" si="265"/>
        <v>4000</v>
      </c>
      <c r="G391" s="50">
        <f t="shared" si="265"/>
        <v>4000</v>
      </c>
      <c r="H391" s="50">
        <f t="shared" si="265"/>
        <v>4000</v>
      </c>
      <c r="I391" s="50">
        <f t="shared" si="265"/>
        <v>4000</v>
      </c>
      <c r="J391" s="50">
        <f t="shared" si="265"/>
        <v>4000</v>
      </c>
      <c r="K391" s="50">
        <f t="shared" si="265"/>
        <v>4000</v>
      </c>
      <c r="L391" s="50">
        <f t="shared" si="265"/>
        <v>4000</v>
      </c>
      <c r="M391" s="50">
        <f t="shared" si="265"/>
        <v>4000</v>
      </c>
      <c r="N391" s="50">
        <f t="shared" si="265"/>
        <v>4000</v>
      </c>
      <c r="O391" s="385">
        <f t="shared" si="258"/>
        <v>48000</v>
      </c>
      <c r="P391" s="49">
        <f t="shared" si="241"/>
        <v>-0.04</v>
      </c>
    </row>
    <row r="392" spans="1:16" x14ac:dyDescent="0.35">
      <c r="A392" s="154" t="s">
        <v>79</v>
      </c>
      <c r="B392" s="300">
        <f t="shared" ref="B392:O392" si="266">SUM(B393:B396)</f>
        <v>6489000</v>
      </c>
      <c r="C392" s="50">
        <f t="shared" si="266"/>
        <v>549000</v>
      </c>
      <c r="D392" s="50">
        <f t="shared" si="266"/>
        <v>627000</v>
      </c>
      <c r="E392" s="50">
        <f t="shared" si="266"/>
        <v>549000</v>
      </c>
      <c r="F392" s="50">
        <f t="shared" si="266"/>
        <v>549000</v>
      </c>
      <c r="G392" s="50">
        <f t="shared" si="266"/>
        <v>627000</v>
      </c>
      <c r="H392" s="50">
        <f t="shared" si="266"/>
        <v>549000</v>
      </c>
      <c r="I392" s="50">
        <f t="shared" si="266"/>
        <v>549000</v>
      </c>
      <c r="J392" s="50">
        <f t="shared" si="266"/>
        <v>627000</v>
      </c>
      <c r="K392" s="50">
        <f t="shared" si="266"/>
        <v>549000</v>
      </c>
      <c r="L392" s="50">
        <f t="shared" si="266"/>
        <v>549000</v>
      </c>
      <c r="M392" s="50">
        <f t="shared" si="266"/>
        <v>627000</v>
      </c>
      <c r="N392" s="50">
        <f t="shared" si="266"/>
        <v>549000</v>
      </c>
      <c r="O392" s="387">
        <f t="shared" si="266"/>
        <v>6900000</v>
      </c>
      <c r="P392" s="49">
        <f t="shared" si="241"/>
        <v>6.3337956541840032E-2</v>
      </c>
    </row>
    <row r="393" spans="1:16" x14ac:dyDescent="0.35">
      <c r="A393" s="154" t="s">
        <v>227</v>
      </c>
      <c r="B393" s="294">
        <v>1143000</v>
      </c>
      <c r="C393" s="50">
        <f t="shared" ref="C393:N393" si="267">ROUND(((+$B$393*$B$62)+$B$393)/12,-3)</f>
        <v>99000</v>
      </c>
      <c r="D393" s="50">
        <f t="shared" si="267"/>
        <v>99000</v>
      </c>
      <c r="E393" s="50">
        <f t="shared" si="267"/>
        <v>99000</v>
      </c>
      <c r="F393" s="50">
        <f t="shared" si="267"/>
        <v>99000</v>
      </c>
      <c r="G393" s="50">
        <f t="shared" si="267"/>
        <v>99000</v>
      </c>
      <c r="H393" s="50">
        <f t="shared" si="267"/>
        <v>99000</v>
      </c>
      <c r="I393" s="50">
        <f t="shared" si="267"/>
        <v>99000</v>
      </c>
      <c r="J393" s="50">
        <f t="shared" si="267"/>
        <v>99000</v>
      </c>
      <c r="K393" s="50">
        <f t="shared" si="267"/>
        <v>99000</v>
      </c>
      <c r="L393" s="50">
        <f t="shared" si="267"/>
        <v>99000</v>
      </c>
      <c r="M393" s="50">
        <f t="shared" si="267"/>
        <v>99000</v>
      </c>
      <c r="N393" s="50">
        <f t="shared" si="267"/>
        <v>99000</v>
      </c>
      <c r="O393" s="385">
        <f t="shared" si="258"/>
        <v>1188000</v>
      </c>
      <c r="P393" s="49">
        <f t="shared" si="241"/>
        <v>3.937007874015748E-2</v>
      </c>
    </row>
    <row r="394" spans="1:16" x14ac:dyDescent="0.35">
      <c r="A394" s="154" t="s">
        <v>445</v>
      </c>
      <c r="B394" s="294">
        <v>300000</v>
      </c>
      <c r="C394" s="50"/>
      <c r="D394" s="50">
        <f>ROUND(((+$B$394*$B$62)+$B$394)/4,-3)</f>
        <v>78000</v>
      </c>
      <c r="E394" s="50"/>
      <c r="F394" s="50"/>
      <c r="G394" s="50">
        <f>ROUND(((+$B$394*$B$62)+$B$394)/4,-3)</f>
        <v>78000</v>
      </c>
      <c r="H394" s="50"/>
      <c r="I394" s="50"/>
      <c r="J394" s="50">
        <f>ROUND(((+$B$394*$B$62)+$B$394)/4,-3)</f>
        <v>78000</v>
      </c>
      <c r="K394" s="50"/>
      <c r="L394" s="50"/>
      <c r="M394" s="50">
        <f>ROUND(((+$B$394*$B$62)+$B$394)/4,-3)</f>
        <v>78000</v>
      </c>
      <c r="N394" s="50"/>
      <c r="O394" s="385">
        <f t="shared" ref="O394:O395" si="268">SUM(C394:N394)</f>
        <v>312000</v>
      </c>
      <c r="P394" s="49">
        <f t="shared" si="241"/>
        <v>0.04</v>
      </c>
    </row>
    <row r="395" spans="1:16" x14ac:dyDescent="0.35">
      <c r="A395" s="154" t="s">
        <v>763</v>
      </c>
      <c r="B395" s="294">
        <v>96000</v>
      </c>
      <c r="C395" s="50">
        <v>20000</v>
      </c>
      <c r="D395" s="50">
        <v>20000</v>
      </c>
      <c r="E395" s="50">
        <v>20000</v>
      </c>
      <c r="F395" s="50">
        <v>20000</v>
      </c>
      <c r="G395" s="50">
        <v>20000</v>
      </c>
      <c r="H395" s="50">
        <v>20000</v>
      </c>
      <c r="I395" s="50">
        <v>20000</v>
      </c>
      <c r="J395" s="50">
        <v>20000</v>
      </c>
      <c r="K395" s="50">
        <v>20000</v>
      </c>
      <c r="L395" s="50">
        <v>20000</v>
      </c>
      <c r="M395" s="50">
        <v>20000</v>
      </c>
      <c r="N395" s="50">
        <v>20000</v>
      </c>
      <c r="O395" s="385">
        <f t="shared" si="268"/>
        <v>240000</v>
      </c>
      <c r="P395" s="49">
        <f t="shared" si="241"/>
        <v>1.5</v>
      </c>
    </row>
    <row r="396" spans="1:16" x14ac:dyDescent="0.35">
      <c r="A396" s="154" t="s">
        <v>446</v>
      </c>
      <c r="B396" s="294">
        <v>4950000</v>
      </c>
      <c r="C396" s="50">
        <f t="shared" ref="C396:N396" si="269">ROUND(((+$B$396*$B$62)+$B$396)/12,-3)</f>
        <v>430000</v>
      </c>
      <c r="D396" s="50">
        <f t="shared" si="269"/>
        <v>430000</v>
      </c>
      <c r="E396" s="50">
        <f t="shared" si="269"/>
        <v>430000</v>
      </c>
      <c r="F396" s="50">
        <f t="shared" si="269"/>
        <v>430000</v>
      </c>
      <c r="G396" s="50">
        <f t="shared" si="269"/>
        <v>430000</v>
      </c>
      <c r="H396" s="50">
        <f t="shared" si="269"/>
        <v>430000</v>
      </c>
      <c r="I396" s="50">
        <f t="shared" si="269"/>
        <v>430000</v>
      </c>
      <c r="J396" s="50">
        <f t="shared" si="269"/>
        <v>430000</v>
      </c>
      <c r="K396" s="50">
        <f t="shared" si="269"/>
        <v>430000</v>
      </c>
      <c r="L396" s="50">
        <f t="shared" si="269"/>
        <v>430000</v>
      </c>
      <c r="M396" s="50">
        <f t="shared" si="269"/>
        <v>430000</v>
      </c>
      <c r="N396" s="50">
        <f t="shared" si="269"/>
        <v>430000</v>
      </c>
      <c r="O396" s="385">
        <f t="shared" ref="O396" si="270">SUM(C396:N396)</f>
        <v>5160000</v>
      </c>
      <c r="P396" s="49">
        <f t="shared" si="241"/>
        <v>4.2424242424242427E-2</v>
      </c>
    </row>
    <row r="397" spans="1:16" x14ac:dyDescent="0.35">
      <c r="A397" s="154" t="s">
        <v>80</v>
      </c>
      <c r="B397" s="300">
        <v>400000</v>
      </c>
      <c r="C397" s="50">
        <f t="shared" ref="C397:N397" si="271">ROUND(((+$B$397*$B$62)+$B$397)/12,-3)</f>
        <v>35000</v>
      </c>
      <c r="D397" s="50">
        <f t="shared" si="271"/>
        <v>35000</v>
      </c>
      <c r="E397" s="50">
        <f t="shared" si="271"/>
        <v>35000</v>
      </c>
      <c r="F397" s="50">
        <f t="shared" si="271"/>
        <v>35000</v>
      </c>
      <c r="G397" s="50">
        <f t="shared" si="271"/>
        <v>35000</v>
      </c>
      <c r="H397" s="50">
        <f t="shared" si="271"/>
        <v>35000</v>
      </c>
      <c r="I397" s="50">
        <f t="shared" si="271"/>
        <v>35000</v>
      </c>
      <c r="J397" s="50">
        <f t="shared" si="271"/>
        <v>35000</v>
      </c>
      <c r="K397" s="50">
        <f t="shared" si="271"/>
        <v>35000</v>
      </c>
      <c r="L397" s="50">
        <f t="shared" si="271"/>
        <v>35000</v>
      </c>
      <c r="M397" s="50">
        <f t="shared" si="271"/>
        <v>35000</v>
      </c>
      <c r="N397" s="50">
        <f t="shared" si="271"/>
        <v>35000</v>
      </c>
      <c r="O397" s="387">
        <f t="shared" si="258"/>
        <v>420000</v>
      </c>
      <c r="P397" s="49">
        <f>+(O392-B392)/B392</f>
        <v>6.3337956541840032E-2</v>
      </c>
    </row>
    <row r="398" spans="1:16" x14ac:dyDescent="0.35">
      <c r="A398" s="154" t="s">
        <v>81</v>
      </c>
      <c r="B398" s="300">
        <f t="shared" ref="B398:O398" si="272">SUM(B399:B422)</f>
        <v>18289000</v>
      </c>
      <c r="C398" s="50">
        <f t="shared" si="272"/>
        <v>841000</v>
      </c>
      <c r="D398" s="50">
        <f t="shared" si="272"/>
        <v>3178000</v>
      </c>
      <c r="E398" s="50">
        <f t="shared" si="272"/>
        <v>2827000</v>
      </c>
      <c r="F398" s="50">
        <f t="shared" si="272"/>
        <v>1625000</v>
      </c>
      <c r="G398" s="50">
        <f t="shared" si="272"/>
        <v>1294000</v>
      </c>
      <c r="H398" s="50">
        <f t="shared" si="272"/>
        <v>1436000</v>
      </c>
      <c r="I398" s="50">
        <f t="shared" si="272"/>
        <v>1012000</v>
      </c>
      <c r="J398" s="50">
        <f t="shared" si="272"/>
        <v>1118000</v>
      </c>
      <c r="K398" s="50">
        <f t="shared" si="272"/>
        <v>3425000</v>
      </c>
      <c r="L398" s="50">
        <f t="shared" si="272"/>
        <v>1411000</v>
      </c>
      <c r="M398" s="50">
        <f t="shared" si="272"/>
        <v>4992000</v>
      </c>
      <c r="N398" s="50">
        <f t="shared" si="272"/>
        <v>802000</v>
      </c>
      <c r="O398" s="387">
        <f t="shared" si="272"/>
        <v>23961000</v>
      </c>
      <c r="P398" s="49">
        <f t="shared" ref="P398:P421" si="273">+(O398-B398)/B398</f>
        <v>0.31013177319700369</v>
      </c>
    </row>
    <row r="399" spans="1:16" x14ac:dyDescent="0.35">
      <c r="A399" s="154" t="s">
        <v>379</v>
      </c>
      <c r="B399" s="294">
        <f>5000000+80000-1000000-1610000-520000-68000</f>
        <v>1882000</v>
      </c>
      <c r="C399" s="50">
        <f t="shared" ref="C399:N399" si="274">ROUND(((+$B$399*$B$62)+$B$399)/12,-3)</f>
        <v>163000</v>
      </c>
      <c r="D399" s="50">
        <f t="shared" si="274"/>
        <v>163000</v>
      </c>
      <c r="E399" s="50">
        <f t="shared" si="274"/>
        <v>163000</v>
      </c>
      <c r="F399" s="50">
        <f t="shared" si="274"/>
        <v>163000</v>
      </c>
      <c r="G399" s="50">
        <f t="shared" si="274"/>
        <v>163000</v>
      </c>
      <c r="H399" s="50">
        <f t="shared" si="274"/>
        <v>163000</v>
      </c>
      <c r="I399" s="50">
        <f t="shared" si="274"/>
        <v>163000</v>
      </c>
      <c r="J399" s="50">
        <f t="shared" si="274"/>
        <v>163000</v>
      </c>
      <c r="K399" s="50">
        <f t="shared" si="274"/>
        <v>163000</v>
      </c>
      <c r="L399" s="50">
        <f t="shared" si="274"/>
        <v>163000</v>
      </c>
      <c r="M399" s="50">
        <f t="shared" si="274"/>
        <v>163000</v>
      </c>
      <c r="N399" s="50">
        <f t="shared" si="274"/>
        <v>163000</v>
      </c>
      <c r="O399" s="385">
        <f t="shared" si="258"/>
        <v>1956000</v>
      </c>
      <c r="P399" s="49">
        <f t="shared" si="273"/>
        <v>3.9319872476089264E-2</v>
      </c>
    </row>
    <row r="400" spans="1:16" x14ac:dyDescent="0.35">
      <c r="A400" s="154" t="s">
        <v>452</v>
      </c>
      <c r="B400" s="294">
        <v>300000</v>
      </c>
      <c r="C400" s="50">
        <f>ROUND(((+$B$400*$B$62)+$B$400)/6,-3)</f>
        <v>52000</v>
      </c>
      <c r="D400" s="50">
        <f>ROUND(((+$B$400*$B$62)+$B$400)/6,-3)</f>
        <v>52000</v>
      </c>
      <c r="E400" s="50">
        <v>0</v>
      </c>
      <c r="F400" s="50">
        <f>ROUND(((+$B$400*$B$62)+$B$400)/6,-3)</f>
        <v>52000</v>
      </c>
      <c r="G400" s="50">
        <f>ROUND(((+$B$400*$B$62)+$B$400)/6,-3)</f>
        <v>52000</v>
      </c>
      <c r="H400" s="50">
        <v>0</v>
      </c>
      <c r="I400" s="50">
        <v>0</v>
      </c>
      <c r="J400" s="50">
        <f>ROUND(((+$B$400*$B$62)+$B$400)/6,-3)</f>
        <v>52000</v>
      </c>
      <c r="K400" s="50">
        <f>ROUND(((+$B$400*$B$62)+$B$400)/6,-3)</f>
        <v>52000</v>
      </c>
      <c r="L400" s="50">
        <v>0</v>
      </c>
      <c r="M400" s="50">
        <v>0</v>
      </c>
      <c r="N400" s="50"/>
      <c r="O400" s="385">
        <f t="shared" ref="O400:O403" si="275">SUM(C400:N400)</f>
        <v>312000</v>
      </c>
      <c r="P400" s="49">
        <f t="shared" si="273"/>
        <v>0.04</v>
      </c>
    </row>
    <row r="401" spans="1:16" x14ac:dyDescent="0.35">
      <c r="A401" s="154" t="s">
        <v>739</v>
      </c>
      <c r="B401" s="294">
        <v>170000</v>
      </c>
      <c r="C401" s="50">
        <f t="shared" ref="C401:N401" si="276">ROUND(((+$B$401*$B$62)+$B$401)/12,-3)</f>
        <v>15000</v>
      </c>
      <c r="D401" s="50">
        <f t="shared" si="276"/>
        <v>15000</v>
      </c>
      <c r="E401" s="50">
        <f t="shared" si="276"/>
        <v>15000</v>
      </c>
      <c r="F401" s="50">
        <f t="shared" si="276"/>
        <v>15000</v>
      </c>
      <c r="G401" s="50">
        <f t="shared" si="276"/>
        <v>15000</v>
      </c>
      <c r="H401" s="50">
        <f t="shared" si="276"/>
        <v>15000</v>
      </c>
      <c r="I401" s="50">
        <f t="shared" si="276"/>
        <v>15000</v>
      </c>
      <c r="J401" s="50">
        <f t="shared" si="276"/>
        <v>15000</v>
      </c>
      <c r="K401" s="50">
        <f t="shared" si="276"/>
        <v>15000</v>
      </c>
      <c r="L401" s="50">
        <f t="shared" si="276"/>
        <v>15000</v>
      </c>
      <c r="M401" s="50">
        <f t="shared" si="276"/>
        <v>15000</v>
      </c>
      <c r="N401" s="50">
        <f t="shared" si="276"/>
        <v>15000</v>
      </c>
      <c r="O401" s="385">
        <f t="shared" si="275"/>
        <v>180000</v>
      </c>
      <c r="P401" s="49">
        <f t="shared" si="273"/>
        <v>5.8823529411764705E-2</v>
      </c>
    </row>
    <row r="402" spans="1:16" x14ac:dyDescent="0.35">
      <c r="A402" s="154" t="s">
        <v>740</v>
      </c>
      <c r="B402" s="294">
        <v>230000</v>
      </c>
      <c r="C402" s="50">
        <f t="shared" ref="C402:N402" si="277">ROUND(((+$B$402*$B$62)+$B$402)/12,-3)</f>
        <v>20000</v>
      </c>
      <c r="D402" s="50">
        <f t="shared" si="277"/>
        <v>20000</v>
      </c>
      <c r="E402" s="50">
        <f t="shared" si="277"/>
        <v>20000</v>
      </c>
      <c r="F402" s="50">
        <f t="shared" si="277"/>
        <v>20000</v>
      </c>
      <c r="G402" s="50">
        <f t="shared" si="277"/>
        <v>20000</v>
      </c>
      <c r="H402" s="50">
        <f t="shared" si="277"/>
        <v>20000</v>
      </c>
      <c r="I402" s="50">
        <f t="shared" si="277"/>
        <v>20000</v>
      </c>
      <c r="J402" s="50">
        <f t="shared" si="277"/>
        <v>20000</v>
      </c>
      <c r="K402" s="50">
        <f t="shared" si="277"/>
        <v>20000</v>
      </c>
      <c r="L402" s="50">
        <f t="shared" si="277"/>
        <v>20000</v>
      </c>
      <c r="M402" s="50">
        <f t="shared" si="277"/>
        <v>20000</v>
      </c>
      <c r="N402" s="50">
        <f t="shared" si="277"/>
        <v>20000</v>
      </c>
      <c r="O402" s="385">
        <f t="shared" si="275"/>
        <v>240000</v>
      </c>
      <c r="P402" s="49">
        <f t="shared" si="273"/>
        <v>4.3478260869565216E-2</v>
      </c>
    </row>
    <row r="403" spans="1:16" x14ac:dyDescent="0.35">
      <c r="A403" s="154" t="s">
        <v>741</v>
      </c>
      <c r="B403" s="294">
        <v>851000</v>
      </c>
      <c r="C403" s="50"/>
      <c r="D403" s="50"/>
      <c r="E403" s="50"/>
      <c r="F403" s="50"/>
      <c r="G403" s="50"/>
      <c r="H403" s="50"/>
      <c r="I403" s="50"/>
      <c r="J403" s="50"/>
      <c r="K403" s="50">
        <f>ROUND(((+$B$403*$B$62)+$B$403)/1,-3)</f>
        <v>887000</v>
      </c>
      <c r="L403" s="50"/>
      <c r="M403" s="50"/>
      <c r="N403" s="50"/>
      <c r="O403" s="385">
        <f t="shared" si="275"/>
        <v>887000</v>
      </c>
      <c r="P403" s="49">
        <f t="shared" si="273"/>
        <v>4.230317273795535E-2</v>
      </c>
    </row>
    <row r="404" spans="1:16" x14ac:dyDescent="0.35">
      <c r="A404" s="154" t="s">
        <v>787</v>
      </c>
      <c r="B404" s="294">
        <v>100000</v>
      </c>
      <c r="C404" s="50"/>
      <c r="D404" s="50"/>
      <c r="E404" s="50"/>
      <c r="F404" s="50"/>
      <c r="G404" s="50">
        <f t="shared" ref="G404:N404" si="278">ROUND(((+$B$404*$B$62)+$B$404)/8,-3)</f>
        <v>13000</v>
      </c>
      <c r="H404" s="50">
        <f t="shared" si="278"/>
        <v>13000</v>
      </c>
      <c r="I404" s="50">
        <f t="shared" si="278"/>
        <v>13000</v>
      </c>
      <c r="J404" s="50">
        <f t="shared" si="278"/>
        <v>13000</v>
      </c>
      <c r="K404" s="50">
        <f t="shared" si="278"/>
        <v>13000</v>
      </c>
      <c r="L404" s="50">
        <f t="shared" si="278"/>
        <v>13000</v>
      </c>
      <c r="M404" s="50">
        <f t="shared" si="278"/>
        <v>13000</v>
      </c>
      <c r="N404" s="50">
        <f t="shared" si="278"/>
        <v>13000</v>
      </c>
      <c r="O404" s="385">
        <f t="shared" si="258"/>
        <v>104000</v>
      </c>
      <c r="P404" s="49">
        <f t="shared" si="273"/>
        <v>0.04</v>
      </c>
    </row>
    <row r="405" spans="1:16" x14ac:dyDescent="0.35">
      <c r="A405" s="154" t="s">
        <v>380</v>
      </c>
      <c r="B405" s="294">
        <v>260000</v>
      </c>
      <c r="C405" s="70"/>
      <c r="D405" s="50">
        <f>ROUND(((+$B$405*$B$62)+$B$405)/5,-3)</f>
        <v>54000</v>
      </c>
      <c r="E405" s="323"/>
      <c r="F405" s="50">
        <f>ROUND(((+$B$405*$B$62)+$B$405)/5,-3)</f>
        <v>54000</v>
      </c>
      <c r="G405" s="50"/>
      <c r="H405" s="50">
        <f>ROUND(((+$B$405*$B$62)+$B$405)/5,-3)</f>
        <v>54000</v>
      </c>
      <c r="I405" s="70">
        <v>0</v>
      </c>
      <c r="J405" s="50">
        <f>ROUND(((+$B$405*$B$62)+$B$405)/5,-3)</f>
        <v>54000</v>
      </c>
      <c r="K405" s="50">
        <v>0</v>
      </c>
      <c r="L405" s="50">
        <f>ROUND(((+$B$405*$B$62)+$B$405)/5,-3)</f>
        <v>54000</v>
      </c>
      <c r="M405" s="50">
        <v>0</v>
      </c>
      <c r="N405" s="50">
        <v>0</v>
      </c>
      <c r="O405" s="385">
        <f t="shared" si="258"/>
        <v>270000</v>
      </c>
      <c r="P405" s="49">
        <f t="shared" si="273"/>
        <v>3.8461538461538464E-2</v>
      </c>
    </row>
    <row r="406" spans="1:16" x14ac:dyDescent="0.35">
      <c r="A406" s="154" t="s">
        <v>747</v>
      </c>
      <c r="B406" s="294">
        <v>520000</v>
      </c>
      <c r="C406" s="70"/>
      <c r="D406" s="50">
        <f>520000+520000</f>
        <v>1040000</v>
      </c>
      <c r="E406" s="323"/>
      <c r="F406" s="50">
        <v>520000</v>
      </c>
      <c r="G406" s="50"/>
      <c r="H406" s="50">
        <v>520000</v>
      </c>
      <c r="I406" s="70"/>
      <c r="J406" s="70">
        <v>0</v>
      </c>
      <c r="K406" s="50">
        <v>520000</v>
      </c>
      <c r="L406" s="50"/>
      <c r="M406" s="50"/>
      <c r="N406" s="50"/>
      <c r="O406" s="385">
        <f t="shared" si="258"/>
        <v>2600000</v>
      </c>
      <c r="P406" s="49">
        <f t="shared" si="273"/>
        <v>4</v>
      </c>
    </row>
    <row r="407" spans="1:16" x14ac:dyDescent="0.35">
      <c r="A407" s="350" t="s">
        <v>878</v>
      </c>
      <c r="B407" s="294"/>
      <c r="C407" s="70"/>
      <c r="D407" s="50"/>
      <c r="E407" s="323"/>
      <c r="F407" s="50"/>
      <c r="G407" s="50"/>
      <c r="H407" s="50"/>
      <c r="I407" s="70"/>
      <c r="J407" s="70"/>
      <c r="K407" s="50"/>
      <c r="L407" s="50"/>
      <c r="M407" s="50">
        <v>1500000</v>
      </c>
      <c r="N407" s="50"/>
      <c r="O407" s="385">
        <f t="shared" si="258"/>
        <v>1500000</v>
      </c>
      <c r="P407" s="49">
        <v>1</v>
      </c>
    </row>
    <row r="408" spans="1:16" x14ac:dyDescent="0.35">
      <c r="A408" s="154" t="s">
        <v>745</v>
      </c>
      <c r="B408" s="294">
        <v>200000</v>
      </c>
      <c r="C408" s="50">
        <v>0</v>
      </c>
      <c r="D408" s="50">
        <f>ROUND(((+$B$408*$B$62)+$B$408)/1,-3)</f>
        <v>208000</v>
      </c>
      <c r="E408" s="50"/>
      <c r="F408" s="50">
        <v>0</v>
      </c>
      <c r="G408" s="50">
        <v>0</v>
      </c>
      <c r="H408" s="50">
        <v>0</v>
      </c>
      <c r="I408" s="50">
        <v>0</v>
      </c>
      <c r="J408" s="71"/>
      <c r="K408" s="50">
        <v>0</v>
      </c>
      <c r="L408" s="50">
        <v>0</v>
      </c>
      <c r="M408" s="71"/>
      <c r="N408" s="50"/>
      <c r="O408" s="385">
        <f t="shared" ref="O408:O409" si="279">SUM(C408:N408)</f>
        <v>208000</v>
      </c>
      <c r="P408" s="49">
        <f t="shared" si="273"/>
        <v>0.04</v>
      </c>
    </row>
    <row r="409" spans="1:16" x14ac:dyDescent="0.35">
      <c r="A409" s="154" t="s">
        <v>911</v>
      </c>
      <c r="B409" s="294"/>
      <c r="C409" s="8">
        <v>0</v>
      </c>
      <c r="D409" s="8">
        <v>0</v>
      </c>
      <c r="E409" s="8">
        <v>0</v>
      </c>
      <c r="F409" s="8">
        <v>0</v>
      </c>
      <c r="G409" s="8">
        <v>100000</v>
      </c>
      <c r="H409" s="8">
        <v>0</v>
      </c>
      <c r="I409" s="8">
        <v>0</v>
      </c>
      <c r="J409" s="8">
        <v>0</v>
      </c>
      <c r="K409" s="8">
        <v>50000</v>
      </c>
      <c r="L409" s="8">
        <v>0</v>
      </c>
      <c r="M409" s="8">
        <v>0</v>
      </c>
      <c r="N409" s="8">
        <v>0</v>
      </c>
      <c r="O409" s="385">
        <f t="shared" si="279"/>
        <v>150000</v>
      </c>
      <c r="P409" s="49"/>
    </row>
    <row r="410" spans="1:16" x14ac:dyDescent="0.35">
      <c r="A410" s="154" t="s">
        <v>381</v>
      </c>
      <c r="B410" s="294">
        <v>920000</v>
      </c>
      <c r="C410" s="50">
        <f t="shared" ref="C410:N410" si="280">ROUND(((+$B$410*$B$62)+$B$410)/12,-3)</f>
        <v>80000</v>
      </c>
      <c r="D410" s="50">
        <f t="shared" si="280"/>
        <v>80000</v>
      </c>
      <c r="E410" s="50">
        <f t="shared" si="280"/>
        <v>80000</v>
      </c>
      <c r="F410" s="50">
        <f t="shared" si="280"/>
        <v>80000</v>
      </c>
      <c r="G410" s="50">
        <f t="shared" si="280"/>
        <v>80000</v>
      </c>
      <c r="H410" s="50">
        <f t="shared" si="280"/>
        <v>80000</v>
      </c>
      <c r="I410" s="50">
        <f t="shared" si="280"/>
        <v>80000</v>
      </c>
      <c r="J410" s="50">
        <f t="shared" si="280"/>
        <v>80000</v>
      </c>
      <c r="K410" s="50">
        <f t="shared" si="280"/>
        <v>80000</v>
      </c>
      <c r="L410" s="50">
        <f t="shared" si="280"/>
        <v>80000</v>
      </c>
      <c r="M410" s="50">
        <f t="shared" si="280"/>
        <v>80000</v>
      </c>
      <c r="N410" s="50">
        <f t="shared" si="280"/>
        <v>80000</v>
      </c>
      <c r="O410" s="385">
        <f t="shared" si="258"/>
        <v>960000</v>
      </c>
      <c r="P410" s="49">
        <f t="shared" si="273"/>
        <v>4.3478260869565216E-2</v>
      </c>
    </row>
    <row r="411" spans="1:16" x14ac:dyDescent="0.35">
      <c r="A411" s="154" t="s">
        <v>742</v>
      </c>
      <c r="B411" s="294">
        <f>2700000-260000</f>
        <v>2440000</v>
      </c>
      <c r="C411" s="50">
        <f t="shared" ref="C411:N411" si="281">ROUND(((+$B$411*$B$62)+$B$411)/12,-3)</f>
        <v>212000</v>
      </c>
      <c r="D411" s="50">
        <f t="shared" si="281"/>
        <v>212000</v>
      </c>
      <c r="E411" s="50">
        <f t="shared" si="281"/>
        <v>212000</v>
      </c>
      <c r="F411" s="50">
        <f t="shared" si="281"/>
        <v>212000</v>
      </c>
      <c r="G411" s="50">
        <f t="shared" si="281"/>
        <v>212000</v>
      </c>
      <c r="H411" s="50">
        <f t="shared" si="281"/>
        <v>212000</v>
      </c>
      <c r="I411" s="50">
        <f t="shared" si="281"/>
        <v>212000</v>
      </c>
      <c r="J411" s="50">
        <f t="shared" si="281"/>
        <v>212000</v>
      </c>
      <c r="K411" s="50">
        <f t="shared" si="281"/>
        <v>212000</v>
      </c>
      <c r="L411" s="50">
        <f t="shared" si="281"/>
        <v>212000</v>
      </c>
      <c r="M411" s="50">
        <f t="shared" si="281"/>
        <v>212000</v>
      </c>
      <c r="N411" s="50">
        <f t="shared" si="281"/>
        <v>212000</v>
      </c>
      <c r="O411" s="385">
        <f t="shared" si="258"/>
        <v>2544000</v>
      </c>
      <c r="P411" s="49">
        <f t="shared" si="273"/>
        <v>4.2622950819672129E-2</v>
      </c>
    </row>
    <row r="412" spans="1:16" x14ac:dyDescent="0.35">
      <c r="A412" s="154" t="s">
        <v>382</v>
      </c>
      <c r="B412" s="294">
        <v>312000</v>
      </c>
      <c r="C412" s="50"/>
      <c r="D412" s="50">
        <f>ROUND(((+$B$412*$B$62)+$B$412),-3)</f>
        <v>325000</v>
      </c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385">
        <f t="shared" si="258"/>
        <v>325000</v>
      </c>
      <c r="P412" s="49">
        <f t="shared" si="273"/>
        <v>4.1666666666666664E-2</v>
      </c>
    </row>
    <row r="413" spans="1:16" x14ac:dyDescent="0.35">
      <c r="A413" s="154" t="s">
        <v>447</v>
      </c>
      <c r="B413" s="294">
        <v>1610000</v>
      </c>
      <c r="C413" s="50"/>
      <c r="D413" s="50"/>
      <c r="E413" s="50">
        <f>ROUND(((+$B$413*$B$62)+$B$413),-3)</f>
        <v>1678000</v>
      </c>
      <c r="F413" s="50"/>
      <c r="G413" s="50"/>
      <c r="H413" s="50"/>
      <c r="I413" s="50"/>
      <c r="J413" s="50"/>
      <c r="K413" s="50"/>
      <c r="L413" s="50"/>
      <c r="M413" s="50"/>
      <c r="N413" s="50"/>
      <c r="O413" s="385">
        <f t="shared" ref="O413:O417" si="282">SUM(C413:N413)</f>
        <v>1678000</v>
      </c>
      <c r="P413" s="49">
        <f t="shared" si="273"/>
        <v>4.2236024844720499E-2</v>
      </c>
    </row>
    <row r="414" spans="1:16" x14ac:dyDescent="0.35">
      <c r="A414" s="154" t="s">
        <v>791</v>
      </c>
      <c r="B414" s="294">
        <v>0</v>
      </c>
      <c r="C414" s="50"/>
      <c r="D414" s="50"/>
      <c r="E414" s="50"/>
      <c r="F414" s="50"/>
      <c r="G414" s="50">
        <v>280000</v>
      </c>
      <c r="H414" s="50">
        <v>0</v>
      </c>
      <c r="I414" s="50">
        <v>0</v>
      </c>
      <c r="J414" s="50">
        <v>0</v>
      </c>
      <c r="K414" s="50">
        <v>280000</v>
      </c>
      <c r="L414" s="50"/>
      <c r="M414" s="50"/>
      <c r="N414" s="50"/>
      <c r="O414" s="385">
        <f t="shared" si="282"/>
        <v>560000</v>
      </c>
      <c r="P414" s="49">
        <v>1</v>
      </c>
    </row>
    <row r="415" spans="1:16" x14ac:dyDescent="0.35">
      <c r="A415" s="154" t="s">
        <v>543</v>
      </c>
      <c r="B415" s="294">
        <v>100000</v>
      </c>
      <c r="C415" s="50">
        <v>0</v>
      </c>
      <c r="D415" s="50">
        <v>60000</v>
      </c>
      <c r="E415" s="50">
        <v>60000</v>
      </c>
      <c r="F415" s="50">
        <v>60000</v>
      </c>
      <c r="G415" s="50">
        <v>60000</v>
      </c>
      <c r="H415" s="50">
        <v>60000</v>
      </c>
      <c r="I415" s="50">
        <v>60000</v>
      </c>
      <c r="J415" s="50">
        <v>60000</v>
      </c>
      <c r="K415" s="50">
        <v>60000</v>
      </c>
      <c r="L415" s="50">
        <v>60000</v>
      </c>
      <c r="M415" s="50">
        <f>60000+400000</f>
        <v>460000</v>
      </c>
      <c r="N415" s="50">
        <v>0</v>
      </c>
      <c r="O415" s="385">
        <f t="shared" si="282"/>
        <v>1000000</v>
      </c>
      <c r="P415" s="49">
        <f t="shared" si="273"/>
        <v>9</v>
      </c>
    </row>
    <row r="416" spans="1:16" x14ac:dyDescent="0.35">
      <c r="A416" s="154" t="s">
        <v>743</v>
      </c>
      <c r="B416" s="294">
        <f>200000+68000</f>
        <v>268000</v>
      </c>
      <c r="C416" s="50"/>
      <c r="D416" s="50"/>
      <c r="E416" s="50"/>
      <c r="F416" s="50"/>
      <c r="G416" s="50"/>
      <c r="H416" s="50"/>
      <c r="I416" s="50"/>
      <c r="J416" s="50"/>
      <c r="K416" s="50">
        <f>ROUND(((+$B$416*$B$62)+$B$416),-3)</f>
        <v>279000</v>
      </c>
      <c r="L416" s="50"/>
      <c r="M416" s="50"/>
      <c r="N416" s="50"/>
      <c r="O416" s="385">
        <f t="shared" si="282"/>
        <v>279000</v>
      </c>
      <c r="P416" s="49">
        <f t="shared" si="273"/>
        <v>4.1044776119402986E-2</v>
      </c>
    </row>
    <row r="417" spans="1:16" x14ac:dyDescent="0.35">
      <c r="A417" s="154" t="s">
        <v>744</v>
      </c>
      <c r="B417" s="294">
        <v>500000</v>
      </c>
      <c r="C417" s="50">
        <f t="shared" ref="C417:N417" si="283">ROUND(((+$B$417*$B$62)+$B$417)/12,-3)</f>
        <v>43000</v>
      </c>
      <c r="D417" s="50">
        <f t="shared" si="283"/>
        <v>43000</v>
      </c>
      <c r="E417" s="50">
        <f t="shared" si="283"/>
        <v>43000</v>
      </c>
      <c r="F417" s="50">
        <f t="shared" si="283"/>
        <v>43000</v>
      </c>
      <c r="G417" s="50">
        <f t="shared" si="283"/>
        <v>43000</v>
      </c>
      <c r="H417" s="50">
        <f t="shared" si="283"/>
        <v>43000</v>
      </c>
      <c r="I417" s="50">
        <f t="shared" si="283"/>
        <v>43000</v>
      </c>
      <c r="J417" s="50">
        <f t="shared" si="283"/>
        <v>43000</v>
      </c>
      <c r="K417" s="50">
        <f t="shared" si="283"/>
        <v>43000</v>
      </c>
      <c r="L417" s="50">
        <f t="shared" si="283"/>
        <v>43000</v>
      </c>
      <c r="M417" s="50">
        <f t="shared" si="283"/>
        <v>43000</v>
      </c>
      <c r="N417" s="50">
        <f t="shared" si="283"/>
        <v>43000</v>
      </c>
      <c r="O417" s="385">
        <f t="shared" si="282"/>
        <v>516000</v>
      </c>
      <c r="P417" s="49">
        <f t="shared" si="273"/>
        <v>3.2000000000000001E-2</v>
      </c>
    </row>
    <row r="418" spans="1:16" x14ac:dyDescent="0.35">
      <c r="A418" s="154" t="s">
        <v>783</v>
      </c>
      <c r="B418" s="294">
        <v>1800000</v>
      </c>
      <c r="C418" s="50">
        <f t="shared" ref="C418:N418" si="284">ROUND(((+$B$418*$B$62)+$B$418)/12,-3)</f>
        <v>156000</v>
      </c>
      <c r="D418" s="50">
        <f t="shared" si="284"/>
        <v>156000</v>
      </c>
      <c r="E418" s="50">
        <f t="shared" si="284"/>
        <v>156000</v>
      </c>
      <c r="F418" s="50">
        <f t="shared" si="284"/>
        <v>156000</v>
      </c>
      <c r="G418" s="50">
        <f t="shared" si="284"/>
        <v>156000</v>
      </c>
      <c r="H418" s="50">
        <f t="shared" si="284"/>
        <v>156000</v>
      </c>
      <c r="I418" s="50">
        <f t="shared" si="284"/>
        <v>156000</v>
      </c>
      <c r="J418" s="50">
        <f t="shared" si="284"/>
        <v>156000</v>
      </c>
      <c r="K418" s="50">
        <f t="shared" si="284"/>
        <v>156000</v>
      </c>
      <c r="L418" s="50">
        <f t="shared" si="284"/>
        <v>156000</v>
      </c>
      <c r="M418" s="50">
        <f t="shared" si="284"/>
        <v>156000</v>
      </c>
      <c r="N418" s="50">
        <f t="shared" si="284"/>
        <v>156000</v>
      </c>
      <c r="O418" s="385">
        <f t="shared" ref="O418" si="285">SUM(C418:N418)</f>
        <v>1872000</v>
      </c>
      <c r="P418" s="49">
        <f t="shared" si="273"/>
        <v>0.04</v>
      </c>
    </row>
    <row r="419" spans="1:16" x14ac:dyDescent="0.35">
      <c r="A419" s="154" t="s">
        <v>502</v>
      </c>
      <c r="B419" s="294">
        <f>1600000+120000</f>
        <v>1720000</v>
      </c>
      <c r="C419" s="50">
        <v>0</v>
      </c>
      <c r="D419" s="50">
        <v>150000</v>
      </c>
      <c r="E419" s="50">
        <v>150000</v>
      </c>
      <c r="F419" s="50">
        <v>0</v>
      </c>
      <c r="G419" s="50"/>
      <c r="H419" s="50">
        <v>0</v>
      </c>
      <c r="I419" s="50">
        <v>0</v>
      </c>
      <c r="J419" s="50">
        <v>0</v>
      </c>
      <c r="K419" s="50"/>
      <c r="L419" s="50"/>
      <c r="M419" s="50"/>
      <c r="N419" s="50"/>
      <c r="O419" s="385">
        <f t="shared" si="258"/>
        <v>300000</v>
      </c>
      <c r="P419" s="49">
        <f t="shared" si="273"/>
        <v>-0.82558139534883723</v>
      </c>
    </row>
    <row r="420" spans="1:16" x14ac:dyDescent="0.35">
      <c r="A420" s="248" t="s">
        <v>273</v>
      </c>
      <c r="B420" s="294">
        <v>950000</v>
      </c>
      <c r="C420" s="50"/>
      <c r="D420" s="50"/>
      <c r="E420" s="50">
        <v>0</v>
      </c>
      <c r="F420" s="50"/>
      <c r="G420" s="50"/>
      <c r="H420" s="50"/>
      <c r="I420" s="58"/>
      <c r="J420" s="50">
        <v>0</v>
      </c>
      <c r="K420" s="50">
        <f>ROUND(((+$B$420*$B$62)+$B$420)/2,-3)</f>
        <v>495000</v>
      </c>
      <c r="L420" s="50">
        <f>ROUND(((+$B$420*$B$62)+$B$420)/2,-3)</f>
        <v>495000</v>
      </c>
      <c r="M420" s="50"/>
      <c r="N420" s="50">
        <v>0</v>
      </c>
      <c r="O420" s="385">
        <f t="shared" ref="O420:O421" si="286">SUM(C420:N420)</f>
        <v>990000</v>
      </c>
      <c r="P420" s="49">
        <f t="shared" si="273"/>
        <v>4.2105263157894736E-2</v>
      </c>
    </row>
    <row r="421" spans="1:16" x14ac:dyDescent="0.35">
      <c r="A421" s="154" t="s">
        <v>746</v>
      </c>
      <c r="B421" s="294">
        <f>1000000+1452000+704000</f>
        <v>3156000</v>
      </c>
      <c r="C421" s="50">
        <v>100000</v>
      </c>
      <c r="D421" s="50">
        <v>100000</v>
      </c>
      <c r="E421" s="50">
        <v>100000</v>
      </c>
      <c r="F421" s="50">
        <v>100000</v>
      </c>
      <c r="G421" s="50">
        <v>100000</v>
      </c>
      <c r="H421" s="50">
        <v>100000</v>
      </c>
      <c r="I421" s="50">
        <v>100000</v>
      </c>
      <c r="J421" s="50">
        <v>100000</v>
      </c>
      <c r="K421" s="50">
        <v>100000</v>
      </c>
      <c r="L421" s="50">
        <v>100000</v>
      </c>
      <c r="M421" s="50">
        <f>100000+1500000+730000</f>
        <v>2330000</v>
      </c>
      <c r="N421" s="50">
        <v>100000</v>
      </c>
      <c r="O421" s="385">
        <f t="shared" si="286"/>
        <v>3430000</v>
      </c>
      <c r="P421" s="49">
        <f t="shared" si="273"/>
        <v>8.681875792141952E-2</v>
      </c>
    </row>
    <row r="422" spans="1:16" x14ac:dyDescent="0.35">
      <c r="A422" s="154" t="s">
        <v>765</v>
      </c>
      <c r="B422" s="294">
        <v>0</v>
      </c>
      <c r="C422" s="50"/>
      <c r="D422" s="50">
        <v>500000</v>
      </c>
      <c r="E422" s="50">
        <v>150000</v>
      </c>
      <c r="F422" s="50">
        <v>150000</v>
      </c>
      <c r="G422" s="50">
        <v>0</v>
      </c>
      <c r="H422" s="50">
        <v>0</v>
      </c>
      <c r="I422" s="50">
        <v>150000</v>
      </c>
      <c r="J422" s="50">
        <v>150000</v>
      </c>
      <c r="K422" s="50">
        <v>0</v>
      </c>
      <c r="L422" s="50">
        <v>0</v>
      </c>
      <c r="M422" s="50">
        <v>0</v>
      </c>
      <c r="N422" s="50">
        <v>0</v>
      </c>
      <c r="O422" s="385">
        <f t="shared" si="258"/>
        <v>1100000</v>
      </c>
      <c r="P422" s="49">
        <v>1</v>
      </c>
    </row>
    <row r="423" spans="1:16" x14ac:dyDescent="0.35">
      <c r="A423" s="154" t="s">
        <v>448</v>
      </c>
      <c r="B423" s="300">
        <v>580000</v>
      </c>
      <c r="C423" s="50">
        <f t="shared" ref="C423:N423" si="287">ROUND(((+$B$423*$B$62)+$B$423)/12,-3)</f>
        <v>50000</v>
      </c>
      <c r="D423" s="50">
        <f t="shared" si="287"/>
        <v>50000</v>
      </c>
      <c r="E423" s="50">
        <f t="shared" si="287"/>
        <v>50000</v>
      </c>
      <c r="F423" s="50">
        <f t="shared" si="287"/>
        <v>50000</v>
      </c>
      <c r="G423" s="50">
        <f t="shared" si="287"/>
        <v>50000</v>
      </c>
      <c r="H423" s="50">
        <f t="shared" si="287"/>
        <v>50000</v>
      </c>
      <c r="I423" s="50">
        <f t="shared" si="287"/>
        <v>50000</v>
      </c>
      <c r="J423" s="50">
        <f t="shared" si="287"/>
        <v>50000</v>
      </c>
      <c r="K423" s="50">
        <f t="shared" si="287"/>
        <v>50000</v>
      </c>
      <c r="L423" s="50">
        <f t="shared" si="287"/>
        <v>50000</v>
      </c>
      <c r="M423" s="50">
        <f t="shared" si="287"/>
        <v>50000</v>
      </c>
      <c r="N423" s="50">
        <f t="shared" si="287"/>
        <v>50000</v>
      </c>
      <c r="O423" s="387">
        <f t="shared" si="258"/>
        <v>600000</v>
      </c>
      <c r="P423" s="49">
        <f t="shared" ref="P423:P429" si="288">+(O423-B423)/B423</f>
        <v>3.4482758620689655E-2</v>
      </c>
    </row>
    <row r="424" spans="1:16" x14ac:dyDescent="0.35">
      <c r="A424" s="154" t="s">
        <v>3</v>
      </c>
      <c r="B424" s="300">
        <f t="shared" ref="B424:O424" si="289">SUM(B425:B441)</f>
        <v>19033648</v>
      </c>
      <c r="C424" s="50">
        <f t="shared" si="289"/>
        <v>2046500</v>
      </c>
      <c r="D424" s="50">
        <f t="shared" si="289"/>
        <v>1938500</v>
      </c>
      <c r="E424" s="50">
        <f t="shared" si="289"/>
        <v>1946500</v>
      </c>
      <c r="F424" s="50">
        <f t="shared" si="289"/>
        <v>2038500</v>
      </c>
      <c r="G424" s="50">
        <f t="shared" si="289"/>
        <v>2046500</v>
      </c>
      <c r="H424" s="50">
        <f t="shared" si="289"/>
        <v>2038500</v>
      </c>
      <c r="I424" s="50">
        <f t="shared" si="289"/>
        <v>2446500</v>
      </c>
      <c r="J424" s="50">
        <f t="shared" si="289"/>
        <v>4916500</v>
      </c>
      <c r="K424" s="50">
        <f t="shared" si="289"/>
        <v>2992500</v>
      </c>
      <c r="L424" s="50">
        <f t="shared" si="289"/>
        <v>2984500</v>
      </c>
      <c r="M424" s="50">
        <f t="shared" si="289"/>
        <v>1946500</v>
      </c>
      <c r="N424" s="50">
        <f t="shared" si="289"/>
        <v>1938500</v>
      </c>
      <c r="O424" s="387">
        <f t="shared" si="289"/>
        <v>29280000</v>
      </c>
      <c r="P424" s="49">
        <f t="shared" si="288"/>
        <v>0.53832833306573702</v>
      </c>
    </row>
    <row r="425" spans="1:16" x14ac:dyDescent="0.35">
      <c r="A425" s="154" t="s">
        <v>83</v>
      </c>
      <c r="B425" s="294">
        <v>8273448</v>
      </c>
      <c r="C425" s="50">
        <v>1558000</v>
      </c>
      <c r="D425" s="50">
        <v>1558000</v>
      </c>
      <c r="E425" s="50">
        <v>1558000</v>
      </c>
      <c r="F425" s="50">
        <v>1558000</v>
      </c>
      <c r="G425" s="50">
        <v>1558000</v>
      </c>
      <c r="H425" s="50">
        <v>1558000</v>
      </c>
      <c r="I425" s="50">
        <v>1558000</v>
      </c>
      <c r="J425" s="50">
        <v>1558000</v>
      </c>
      <c r="K425" s="50">
        <v>1558000</v>
      </c>
      <c r="L425" s="50">
        <v>1558000</v>
      </c>
      <c r="M425" s="50">
        <v>1558000</v>
      </c>
      <c r="N425" s="50">
        <v>1558000</v>
      </c>
      <c r="O425" s="385">
        <f t="shared" si="258"/>
        <v>18696000</v>
      </c>
      <c r="P425" s="49">
        <f t="shared" si="288"/>
        <v>1.2597591717503995</v>
      </c>
    </row>
    <row r="426" spans="1:16" x14ac:dyDescent="0.35">
      <c r="A426" s="154" t="s">
        <v>85</v>
      </c>
      <c r="B426" s="294">
        <v>46800</v>
      </c>
      <c r="C426" s="50">
        <v>8500</v>
      </c>
      <c r="D426" s="50">
        <v>8500</v>
      </c>
      <c r="E426" s="50">
        <v>8500</v>
      </c>
      <c r="F426" s="50">
        <v>8500</v>
      </c>
      <c r="G426" s="50">
        <v>8500</v>
      </c>
      <c r="H426" s="50">
        <v>8500</v>
      </c>
      <c r="I426" s="50">
        <v>8500</v>
      </c>
      <c r="J426" s="50">
        <v>8500</v>
      </c>
      <c r="K426" s="50">
        <v>8500</v>
      </c>
      <c r="L426" s="50">
        <v>8500</v>
      </c>
      <c r="M426" s="50">
        <v>8500</v>
      </c>
      <c r="N426" s="50">
        <v>8500</v>
      </c>
      <c r="O426" s="385">
        <f t="shared" si="258"/>
        <v>102000</v>
      </c>
      <c r="P426" s="49">
        <f t="shared" si="288"/>
        <v>1.1794871794871795</v>
      </c>
    </row>
    <row r="427" spans="1:16" x14ac:dyDescent="0.35">
      <c r="A427" s="154" t="s">
        <v>84</v>
      </c>
      <c r="B427" s="294">
        <v>1150000</v>
      </c>
      <c r="C427" s="50">
        <v>210000</v>
      </c>
      <c r="D427" s="50">
        <v>210000</v>
      </c>
      <c r="E427" s="50">
        <v>210000</v>
      </c>
      <c r="F427" s="50">
        <v>210000</v>
      </c>
      <c r="G427" s="50">
        <v>210000</v>
      </c>
      <c r="H427" s="50">
        <v>210000</v>
      </c>
      <c r="I427" s="50">
        <v>210000</v>
      </c>
      <c r="J427" s="50">
        <v>210000</v>
      </c>
      <c r="K427" s="50">
        <v>210000</v>
      </c>
      <c r="L427" s="50">
        <v>210000</v>
      </c>
      <c r="M427" s="50">
        <v>210000</v>
      </c>
      <c r="N427" s="50">
        <v>210000</v>
      </c>
      <c r="O427" s="385">
        <f t="shared" si="258"/>
        <v>2520000</v>
      </c>
      <c r="P427" s="49">
        <f t="shared" si="288"/>
        <v>1.191304347826087</v>
      </c>
    </row>
    <row r="428" spans="1:16" x14ac:dyDescent="0.35">
      <c r="A428" s="154" t="s">
        <v>749</v>
      </c>
      <c r="B428" s="294">
        <v>400000</v>
      </c>
      <c r="C428" s="50">
        <f t="shared" ref="C428:N428" si="290">ROUND(((+$B$428*$B$62)+$B$428)/12,-3)</f>
        <v>35000</v>
      </c>
      <c r="D428" s="50">
        <f t="shared" si="290"/>
        <v>35000</v>
      </c>
      <c r="E428" s="50">
        <f t="shared" si="290"/>
        <v>35000</v>
      </c>
      <c r="F428" s="50">
        <f t="shared" si="290"/>
        <v>35000</v>
      </c>
      <c r="G428" s="50">
        <f t="shared" si="290"/>
        <v>35000</v>
      </c>
      <c r="H428" s="50">
        <f t="shared" si="290"/>
        <v>35000</v>
      </c>
      <c r="I428" s="50">
        <f t="shared" si="290"/>
        <v>35000</v>
      </c>
      <c r="J428" s="50">
        <f t="shared" si="290"/>
        <v>35000</v>
      </c>
      <c r="K428" s="50">
        <f t="shared" si="290"/>
        <v>35000</v>
      </c>
      <c r="L428" s="50">
        <f t="shared" si="290"/>
        <v>35000</v>
      </c>
      <c r="M428" s="50">
        <f t="shared" si="290"/>
        <v>35000</v>
      </c>
      <c r="N428" s="50">
        <f t="shared" si="290"/>
        <v>35000</v>
      </c>
      <c r="O428" s="385">
        <f t="shared" ref="O428" si="291">SUM(C428:N428)</f>
        <v>420000</v>
      </c>
      <c r="P428" s="49">
        <f t="shared" si="288"/>
        <v>0.05</v>
      </c>
    </row>
    <row r="429" spans="1:16" x14ac:dyDescent="0.35">
      <c r="A429" s="154" t="s">
        <v>748</v>
      </c>
      <c r="B429" s="294">
        <v>46200</v>
      </c>
      <c r="C429" s="50">
        <f>ROUND(((+$B$429*$B$62)+$B$429)/6,-3)</f>
        <v>8000</v>
      </c>
      <c r="D429" s="50"/>
      <c r="E429" s="50">
        <f>ROUND(((+$B$429*$B$62)+$B$429)/6,-3)</f>
        <v>8000</v>
      </c>
      <c r="F429" s="50"/>
      <c r="G429" s="50">
        <f>ROUND(((+$B$429*$B$62)+$B$429)/6,-3)</f>
        <v>8000</v>
      </c>
      <c r="H429" s="50"/>
      <c r="I429" s="50">
        <f>ROUND(((+$B$429*$B$62)+$B$429)/6,-3)</f>
        <v>8000</v>
      </c>
      <c r="J429" s="50"/>
      <c r="K429" s="50">
        <f>ROUND(((+$B$429*$B$62)+$B$429)/6,-3)</f>
        <v>8000</v>
      </c>
      <c r="L429" s="50"/>
      <c r="M429" s="50">
        <f>ROUND(((+$B$429*$B$62)+$B$429)/6,-3)</f>
        <v>8000</v>
      </c>
      <c r="N429" s="50"/>
      <c r="O429" s="385">
        <f t="shared" si="258"/>
        <v>48000</v>
      </c>
      <c r="P429" s="49">
        <f t="shared" si="288"/>
        <v>3.896103896103896E-2</v>
      </c>
    </row>
    <row r="430" spans="1:16" x14ac:dyDescent="0.35">
      <c r="A430" s="154" t="s">
        <v>757</v>
      </c>
      <c r="B430" s="294">
        <v>0</v>
      </c>
      <c r="C430" s="50">
        <v>5000</v>
      </c>
      <c r="D430" s="50">
        <v>5000</v>
      </c>
      <c r="E430" s="50">
        <v>5000</v>
      </c>
      <c r="F430" s="50">
        <v>5000</v>
      </c>
      <c r="G430" s="50">
        <v>5000</v>
      </c>
      <c r="H430" s="50">
        <v>5000</v>
      </c>
      <c r="I430" s="50">
        <v>5000</v>
      </c>
      <c r="J430" s="50">
        <v>5000</v>
      </c>
      <c r="K430" s="50">
        <v>5000</v>
      </c>
      <c r="L430" s="50">
        <v>5000</v>
      </c>
      <c r="M430" s="50">
        <v>5000</v>
      </c>
      <c r="N430" s="50">
        <v>5000</v>
      </c>
      <c r="O430" s="385">
        <f t="shared" si="258"/>
        <v>60000</v>
      </c>
      <c r="P430" s="49">
        <v>1</v>
      </c>
    </row>
    <row r="431" spans="1:16" x14ac:dyDescent="0.35">
      <c r="A431" s="154" t="s">
        <v>750</v>
      </c>
      <c r="B431" s="294">
        <v>870000</v>
      </c>
      <c r="C431" s="50">
        <v>100000</v>
      </c>
      <c r="D431" s="50"/>
      <c r="E431" s="50"/>
      <c r="F431" s="50"/>
      <c r="G431" s="50">
        <v>100000</v>
      </c>
      <c r="H431" s="50"/>
      <c r="I431" s="50"/>
      <c r="J431" s="50"/>
      <c r="K431" s="50"/>
      <c r="L431" s="50"/>
      <c r="M431" s="50"/>
      <c r="N431" s="50"/>
      <c r="O431" s="385">
        <f t="shared" si="258"/>
        <v>200000</v>
      </c>
      <c r="P431" s="49">
        <f t="shared" ref="P431:P439" si="292">+(O431-B431)/B431</f>
        <v>-0.77011494252873558</v>
      </c>
    </row>
    <row r="432" spans="1:16" x14ac:dyDescent="0.35">
      <c r="A432" s="154" t="s">
        <v>912</v>
      </c>
      <c r="B432" s="294"/>
      <c r="C432" s="8"/>
      <c r="D432" s="8"/>
      <c r="E432" s="8"/>
      <c r="F432" s="8">
        <v>100000</v>
      </c>
      <c r="G432" s="8"/>
      <c r="H432" s="8">
        <v>100000</v>
      </c>
      <c r="I432" s="8">
        <v>500000</v>
      </c>
      <c r="J432" s="8"/>
      <c r="K432" s="8"/>
      <c r="L432" s="8"/>
      <c r="M432" s="8"/>
      <c r="N432" s="8"/>
      <c r="O432" s="385">
        <f t="shared" si="258"/>
        <v>700000</v>
      </c>
      <c r="P432" s="49">
        <v>1</v>
      </c>
    </row>
    <row r="433" spans="1:16" x14ac:dyDescent="0.35">
      <c r="A433" s="248" t="s">
        <v>383</v>
      </c>
      <c r="B433" s="294">
        <v>642000</v>
      </c>
      <c r="C433" s="50"/>
      <c r="D433" s="50"/>
      <c r="E433" s="50"/>
      <c r="F433" s="50"/>
      <c r="G433" s="50"/>
      <c r="H433" s="50"/>
      <c r="I433" s="50"/>
      <c r="J433" s="50">
        <f>ROUND(((+$B$433*$B$62)+$B$433)/3,-3)</f>
        <v>223000</v>
      </c>
      <c r="K433" s="50">
        <f>ROUND(((+$B$433*$B$62)+$B$433)/3,-3)</f>
        <v>223000</v>
      </c>
      <c r="L433" s="50">
        <f>ROUND(((+$B$433*$B$62)+$B$433)/3,-3)</f>
        <v>223000</v>
      </c>
      <c r="M433" s="50"/>
      <c r="N433" s="50">
        <v>0</v>
      </c>
      <c r="O433" s="385">
        <f t="shared" si="258"/>
        <v>669000</v>
      </c>
      <c r="P433" s="49">
        <f t="shared" si="292"/>
        <v>4.2056074766355138E-2</v>
      </c>
    </row>
    <row r="434" spans="1:16" x14ac:dyDescent="0.35">
      <c r="A434" s="248" t="s">
        <v>384</v>
      </c>
      <c r="B434" s="294">
        <f>1400000+900000</f>
        <v>2300000</v>
      </c>
      <c r="C434" s="50"/>
      <c r="D434" s="50"/>
      <c r="E434" s="50"/>
      <c r="F434" s="50"/>
      <c r="G434" s="50"/>
      <c r="H434" s="50"/>
      <c r="I434" s="50"/>
      <c r="J434" s="50">
        <v>950000</v>
      </c>
      <c r="K434" s="50">
        <v>730000</v>
      </c>
      <c r="L434" s="50">
        <v>730000</v>
      </c>
      <c r="M434" s="50"/>
      <c r="N434" s="50">
        <v>0</v>
      </c>
      <c r="O434" s="385">
        <f t="shared" si="258"/>
        <v>2410000</v>
      </c>
      <c r="P434" s="49">
        <f t="shared" si="292"/>
        <v>4.7826086956521741E-2</v>
      </c>
    </row>
    <row r="435" spans="1:16" x14ac:dyDescent="0.35">
      <c r="A435" s="248" t="s">
        <v>385</v>
      </c>
      <c r="B435" s="294">
        <v>178200</v>
      </c>
      <c r="C435" s="50"/>
      <c r="D435" s="50"/>
      <c r="E435" s="50">
        <v>0</v>
      </c>
      <c r="F435" s="50"/>
      <c r="G435" s="50"/>
      <c r="H435" s="50"/>
      <c r="I435" s="50" t="s">
        <v>223</v>
      </c>
      <c r="J435" s="50">
        <v>0</v>
      </c>
      <c r="K435" s="50">
        <f>ROUND(((+$B$435*$B$62)+$B$435)/2,-3)</f>
        <v>93000</v>
      </c>
      <c r="L435" s="50">
        <f>ROUND(((+$B$435*$B$62)+$B$435)/2,-3)</f>
        <v>93000</v>
      </c>
      <c r="M435" s="50"/>
      <c r="N435" s="50">
        <v>0</v>
      </c>
      <c r="O435" s="385">
        <f t="shared" si="258"/>
        <v>186000</v>
      </c>
      <c r="P435" s="49">
        <f t="shared" si="292"/>
        <v>4.3771043771043773E-2</v>
      </c>
    </row>
    <row r="436" spans="1:16" x14ac:dyDescent="0.35">
      <c r="A436" s="248" t="s">
        <v>753</v>
      </c>
      <c r="B436" s="294">
        <v>1050000</v>
      </c>
      <c r="C436" s="50"/>
      <c r="D436" s="50"/>
      <c r="E436" s="50"/>
      <c r="F436" s="50"/>
      <c r="G436" s="50"/>
      <c r="H436" s="50"/>
      <c r="I436" s="50"/>
      <c r="J436" s="50">
        <v>1100000</v>
      </c>
      <c r="K436" s="50"/>
      <c r="L436" s="50"/>
      <c r="M436" s="50"/>
      <c r="N436" s="50"/>
      <c r="O436" s="385">
        <f t="shared" ref="O436" si="293">SUM(C436:N436)</f>
        <v>1100000</v>
      </c>
      <c r="P436" s="49">
        <f t="shared" si="292"/>
        <v>4.7619047619047616E-2</v>
      </c>
    </row>
    <row r="437" spans="1:16" x14ac:dyDescent="0.35">
      <c r="A437" s="248" t="s">
        <v>754</v>
      </c>
      <c r="B437" s="294">
        <v>120000</v>
      </c>
      <c r="C437" s="50"/>
      <c r="D437" s="50"/>
      <c r="E437" s="50"/>
      <c r="F437" s="50"/>
      <c r="G437" s="50"/>
      <c r="H437" s="50"/>
      <c r="I437" s="50"/>
      <c r="J437" s="50">
        <v>125000</v>
      </c>
      <c r="K437" s="50"/>
      <c r="L437" s="50"/>
      <c r="M437" s="50"/>
      <c r="N437" s="50"/>
      <c r="O437" s="385">
        <f t="shared" si="258"/>
        <v>125000</v>
      </c>
      <c r="P437" s="49">
        <f t="shared" si="292"/>
        <v>4.1666666666666664E-2</v>
      </c>
    </row>
    <row r="438" spans="1:16" x14ac:dyDescent="0.35">
      <c r="A438" s="248" t="s">
        <v>751</v>
      </c>
      <c r="B438" s="294">
        <v>369000</v>
      </c>
      <c r="C438" s="50"/>
      <c r="D438" s="50"/>
      <c r="E438" s="50"/>
      <c r="F438" s="50"/>
      <c r="G438" s="50"/>
      <c r="H438" s="50"/>
      <c r="I438" s="50"/>
      <c r="J438" s="50">
        <v>385000</v>
      </c>
      <c r="K438" s="50"/>
      <c r="L438" s="50"/>
      <c r="M438" s="50"/>
      <c r="N438" s="50"/>
      <c r="O438" s="385">
        <f t="shared" si="258"/>
        <v>385000</v>
      </c>
      <c r="P438" s="49">
        <f t="shared" si="292"/>
        <v>4.3360433604336043E-2</v>
      </c>
    </row>
    <row r="439" spans="1:16" x14ac:dyDescent="0.35">
      <c r="A439" s="248" t="s">
        <v>752</v>
      </c>
      <c r="B439" s="294">
        <v>185000</v>
      </c>
      <c r="C439" s="50"/>
      <c r="D439" s="50"/>
      <c r="E439" s="50"/>
      <c r="F439" s="50"/>
      <c r="G439" s="50"/>
      <c r="H439" s="50"/>
      <c r="I439" s="50"/>
      <c r="J439" s="50">
        <v>195000</v>
      </c>
      <c r="K439" s="50"/>
      <c r="L439" s="50"/>
      <c r="M439" s="50"/>
      <c r="N439" s="50"/>
      <c r="O439" s="385">
        <f t="shared" si="258"/>
        <v>195000</v>
      </c>
      <c r="P439" s="49">
        <f t="shared" si="292"/>
        <v>5.4054054054054057E-2</v>
      </c>
    </row>
    <row r="440" spans="1:16" x14ac:dyDescent="0.35">
      <c r="A440" s="154" t="s">
        <v>755</v>
      </c>
      <c r="B440" s="294">
        <v>2000000</v>
      </c>
      <c r="C440" s="50"/>
      <c r="D440" s="50"/>
      <c r="E440" s="50"/>
      <c r="F440" s="50"/>
      <c r="G440" s="50"/>
      <c r="H440" s="50"/>
      <c r="I440" s="50"/>
      <c r="J440" s="50"/>
      <c r="K440" s="50">
        <v>0</v>
      </c>
      <c r="L440" s="50"/>
      <c r="M440" s="50"/>
      <c r="N440" s="50"/>
      <c r="O440" s="385">
        <f t="shared" si="258"/>
        <v>0</v>
      </c>
      <c r="P440" s="49">
        <v>-1</v>
      </c>
    </row>
    <row r="441" spans="1:16" x14ac:dyDescent="0.35">
      <c r="A441" s="154" t="s">
        <v>86</v>
      </c>
      <c r="B441" s="294">
        <f>774000+629000</f>
        <v>1403000</v>
      </c>
      <c r="C441" s="50">
        <f t="shared" ref="C441:N441" si="294">ROUND(((+$B$441*$B$62)+$B$441)/12,-3)</f>
        <v>122000</v>
      </c>
      <c r="D441" s="50">
        <f t="shared" si="294"/>
        <v>122000</v>
      </c>
      <c r="E441" s="50">
        <f t="shared" si="294"/>
        <v>122000</v>
      </c>
      <c r="F441" s="50">
        <f t="shared" si="294"/>
        <v>122000</v>
      </c>
      <c r="G441" s="50">
        <f t="shared" si="294"/>
        <v>122000</v>
      </c>
      <c r="H441" s="50">
        <f t="shared" si="294"/>
        <v>122000</v>
      </c>
      <c r="I441" s="50">
        <f t="shared" si="294"/>
        <v>122000</v>
      </c>
      <c r="J441" s="50">
        <f t="shared" si="294"/>
        <v>122000</v>
      </c>
      <c r="K441" s="50">
        <f t="shared" si="294"/>
        <v>122000</v>
      </c>
      <c r="L441" s="50">
        <f t="shared" si="294"/>
        <v>122000</v>
      </c>
      <c r="M441" s="50">
        <f t="shared" si="294"/>
        <v>122000</v>
      </c>
      <c r="N441" s="50">
        <f t="shared" si="294"/>
        <v>122000</v>
      </c>
      <c r="O441" s="385">
        <f t="shared" si="258"/>
        <v>1464000</v>
      </c>
      <c r="P441" s="49">
        <f t="shared" ref="P441:P446" si="295">+(O441-B441)/B441</f>
        <v>4.3478260869565216E-2</v>
      </c>
    </row>
    <row r="442" spans="1:16" x14ac:dyDescent="0.35">
      <c r="A442" s="29" t="s">
        <v>87</v>
      </c>
      <c r="B442" s="300">
        <f t="shared" ref="B442:O442" si="296">+B443+B448</f>
        <v>16649000</v>
      </c>
      <c r="C442" s="30">
        <f t="shared" si="296"/>
        <v>1445000</v>
      </c>
      <c r="D442" s="30">
        <f t="shared" si="296"/>
        <v>1445000</v>
      </c>
      <c r="E442" s="30">
        <f t="shared" si="296"/>
        <v>1445000</v>
      </c>
      <c r="F442" s="30">
        <f t="shared" si="296"/>
        <v>1445000</v>
      </c>
      <c r="G442" s="30">
        <f t="shared" si="296"/>
        <v>1445000</v>
      </c>
      <c r="H442" s="30">
        <f t="shared" si="296"/>
        <v>1445000</v>
      </c>
      <c r="I442" s="30">
        <f t="shared" si="296"/>
        <v>1445000</v>
      </c>
      <c r="J442" s="30">
        <f t="shared" si="296"/>
        <v>1445000</v>
      </c>
      <c r="K442" s="30">
        <f t="shared" si="296"/>
        <v>1445000</v>
      </c>
      <c r="L442" s="30">
        <f t="shared" si="296"/>
        <v>1445000</v>
      </c>
      <c r="M442" s="30">
        <f t="shared" si="296"/>
        <v>1445000</v>
      </c>
      <c r="N442" s="30">
        <f t="shared" si="296"/>
        <v>1445000</v>
      </c>
      <c r="O442" s="387">
        <f t="shared" si="296"/>
        <v>17340000</v>
      </c>
      <c r="P442" s="49">
        <f t="shared" si="295"/>
        <v>4.1503994233887918E-2</v>
      </c>
    </row>
    <row r="443" spans="1:16" s="31" customFormat="1" x14ac:dyDescent="0.35">
      <c r="A443" s="29" t="s">
        <v>88</v>
      </c>
      <c r="B443" s="300">
        <f t="shared" ref="B443:O443" si="297">SUM(B444:B447)</f>
        <v>16449000</v>
      </c>
      <c r="C443" s="30">
        <f t="shared" si="297"/>
        <v>1428000</v>
      </c>
      <c r="D443" s="30">
        <f t="shared" si="297"/>
        <v>1428000</v>
      </c>
      <c r="E443" s="30">
        <f t="shared" si="297"/>
        <v>1428000</v>
      </c>
      <c r="F443" s="30">
        <f t="shared" si="297"/>
        <v>1428000</v>
      </c>
      <c r="G443" s="30">
        <f t="shared" si="297"/>
        <v>1428000</v>
      </c>
      <c r="H443" s="30">
        <f t="shared" si="297"/>
        <v>1428000</v>
      </c>
      <c r="I443" s="30">
        <f t="shared" si="297"/>
        <v>1428000</v>
      </c>
      <c r="J443" s="30">
        <f t="shared" si="297"/>
        <v>1428000</v>
      </c>
      <c r="K443" s="30">
        <f t="shared" si="297"/>
        <v>1428000</v>
      </c>
      <c r="L443" s="30">
        <f t="shared" si="297"/>
        <v>1428000</v>
      </c>
      <c r="M443" s="30">
        <f t="shared" si="297"/>
        <v>1428000</v>
      </c>
      <c r="N443" s="30">
        <f t="shared" si="297"/>
        <v>1428000</v>
      </c>
      <c r="O443" s="387">
        <f t="shared" si="297"/>
        <v>17136000</v>
      </c>
      <c r="P443" s="49">
        <f t="shared" si="295"/>
        <v>4.1765456866678825E-2</v>
      </c>
    </row>
    <row r="444" spans="1:16" x14ac:dyDescent="0.35">
      <c r="A444" s="154" t="s">
        <v>89</v>
      </c>
      <c r="B444" s="294">
        <v>7300000</v>
      </c>
      <c r="C444" s="50">
        <f t="shared" ref="C444:N444" si="298">ROUND(((+$B$444*$B$62)+$B$444)/12,-3)</f>
        <v>634000</v>
      </c>
      <c r="D444" s="50">
        <f t="shared" si="298"/>
        <v>634000</v>
      </c>
      <c r="E444" s="50">
        <f t="shared" si="298"/>
        <v>634000</v>
      </c>
      <c r="F444" s="50">
        <f t="shared" si="298"/>
        <v>634000</v>
      </c>
      <c r="G444" s="50">
        <f t="shared" si="298"/>
        <v>634000</v>
      </c>
      <c r="H444" s="50">
        <f t="shared" si="298"/>
        <v>634000</v>
      </c>
      <c r="I444" s="50">
        <f t="shared" si="298"/>
        <v>634000</v>
      </c>
      <c r="J444" s="50">
        <f t="shared" si="298"/>
        <v>634000</v>
      </c>
      <c r="K444" s="50">
        <f t="shared" si="298"/>
        <v>634000</v>
      </c>
      <c r="L444" s="50">
        <f t="shared" si="298"/>
        <v>634000</v>
      </c>
      <c r="M444" s="50">
        <f t="shared" si="298"/>
        <v>634000</v>
      </c>
      <c r="N444" s="50">
        <f t="shared" si="298"/>
        <v>634000</v>
      </c>
      <c r="O444" s="388">
        <f t="shared" ref="O444:O448" si="299">SUM(C444:N444)</f>
        <v>7608000</v>
      </c>
      <c r="P444" s="49">
        <f t="shared" si="295"/>
        <v>4.219178082191781E-2</v>
      </c>
    </row>
    <row r="445" spans="1:16" x14ac:dyDescent="0.35">
      <c r="A445" s="154" t="s">
        <v>533</v>
      </c>
      <c r="B445" s="294">
        <v>889000</v>
      </c>
      <c r="C445" s="50">
        <f t="shared" ref="C445:N445" si="300">ROUND(((+$B$445*$B$62)+$B$445)/12,-3)</f>
        <v>77000</v>
      </c>
      <c r="D445" s="50">
        <f t="shared" si="300"/>
        <v>77000</v>
      </c>
      <c r="E445" s="50">
        <f t="shared" si="300"/>
        <v>77000</v>
      </c>
      <c r="F445" s="50">
        <f t="shared" si="300"/>
        <v>77000</v>
      </c>
      <c r="G445" s="50">
        <f t="shared" si="300"/>
        <v>77000</v>
      </c>
      <c r="H445" s="50">
        <f t="shared" si="300"/>
        <v>77000</v>
      </c>
      <c r="I445" s="50">
        <f t="shared" si="300"/>
        <v>77000</v>
      </c>
      <c r="J445" s="50">
        <f t="shared" si="300"/>
        <v>77000</v>
      </c>
      <c r="K445" s="50">
        <f t="shared" si="300"/>
        <v>77000</v>
      </c>
      <c r="L445" s="50">
        <f t="shared" si="300"/>
        <v>77000</v>
      </c>
      <c r="M445" s="50">
        <f t="shared" si="300"/>
        <v>77000</v>
      </c>
      <c r="N445" s="50">
        <f t="shared" si="300"/>
        <v>77000</v>
      </c>
      <c r="O445" s="388">
        <f t="shared" si="299"/>
        <v>924000</v>
      </c>
      <c r="P445" s="49">
        <f t="shared" si="295"/>
        <v>3.937007874015748E-2</v>
      </c>
    </row>
    <row r="446" spans="1:16" x14ac:dyDescent="0.35">
      <c r="A446" s="154" t="s">
        <v>91</v>
      </c>
      <c r="B446" s="294">
        <v>8260000</v>
      </c>
      <c r="C446" s="50">
        <f t="shared" ref="C446:N446" si="301">ROUND(((+$B$446*$B$62)+$B$446)/12,-3)</f>
        <v>717000</v>
      </c>
      <c r="D446" s="50">
        <f t="shared" si="301"/>
        <v>717000</v>
      </c>
      <c r="E446" s="50">
        <f t="shared" si="301"/>
        <v>717000</v>
      </c>
      <c r="F446" s="50">
        <f t="shared" si="301"/>
        <v>717000</v>
      </c>
      <c r="G446" s="50">
        <f t="shared" si="301"/>
        <v>717000</v>
      </c>
      <c r="H446" s="50">
        <f t="shared" si="301"/>
        <v>717000</v>
      </c>
      <c r="I446" s="50">
        <f t="shared" si="301"/>
        <v>717000</v>
      </c>
      <c r="J446" s="50">
        <f t="shared" si="301"/>
        <v>717000</v>
      </c>
      <c r="K446" s="50">
        <f t="shared" si="301"/>
        <v>717000</v>
      </c>
      <c r="L446" s="50">
        <f t="shared" si="301"/>
        <v>717000</v>
      </c>
      <c r="M446" s="50">
        <f t="shared" si="301"/>
        <v>717000</v>
      </c>
      <c r="N446" s="50">
        <f t="shared" si="301"/>
        <v>717000</v>
      </c>
      <c r="O446" s="388">
        <f t="shared" si="299"/>
        <v>8604000</v>
      </c>
      <c r="P446" s="49">
        <f t="shared" si="295"/>
        <v>4.1646489104116224E-2</v>
      </c>
    </row>
    <row r="447" spans="1:16" x14ac:dyDescent="0.35">
      <c r="A447" s="154" t="s">
        <v>122</v>
      </c>
      <c r="B447" s="294">
        <v>0</v>
      </c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388">
        <f t="shared" si="299"/>
        <v>0</v>
      </c>
      <c r="P447" s="49">
        <v>1</v>
      </c>
    </row>
    <row r="448" spans="1:16" ht="15" thickBot="1" x14ac:dyDescent="0.4">
      <c r="A448" s="156" t="s">
        <v>274</v>
      </c>
      <c r="B448" s="326">
        <v>200000</v>
      </c>
      <c r="C448" s="50">
        <f t="shared" ref="C448:N448" si="302">ROUND(((+$B$448*$B$62)+$B$448)/12,-3)</f>
        <v>17000</v>
      </c>
      <c r="D448" s="50">
        <f t="shared" si="302"/>
        <v>17000</v>
      </c>
      <c r="E448" s="50">
        <f t="shared" si="302"/>
        <v>17000</v>
      </c>
      <c r="F448" s="50">
        <f t="shared" si="302"/>
        <v>17000</v>
      </c>
      <c r="G448" s="50">
        <f t="shared" si="302"/>
        <v>17000</v>
      </c>
      <c r="H448" s="50">
        <f t="shared" si="302"/>
        <v>17000</v>
      </c>
      <c r="I448" s="50">
        <f t="shared" si="302"/>
        <v>17000</v>
      </c>
      <c r="J448" s="50">
        <f t="shared" si="302"/>
        <v>17000</v>
      </c>
      <c r="K448" s="50">
        <f t="shared" si="302"/>
        <v>17000</v>
      </c>
      <c r="L448" s="50">
        <f t="shared" si="302"/>
        <v>17000</v>
      </c>
      <c r="M448" s="50">
        <f t="shared" si="302"/>
        <v>17000</v>
      </c>
      <c r="N448" s="50">
        <f t="shared" si="302"/>
        <v>17000</v>
      </c>
      <c r="O448" s="389">
        <f t="shared" si="299"/>
        <v>204000</v>
      </c>
      <c r="P448" s="49">
        <f>+(O448-B448)/B448</f>
        <v>0.02</v>
      </c>
    </row>
    <row r="449" spans="1:44" ht="15" thickBot="1" x14ac:dyDescent="0.4">
      <c r="A449" s="40" t="s">
        <v>92</v>
      </c>
    </row>
    <row r="450" spans="1:44" ht="15" thickBot="1" x14ac:dyDescent="0.4">
      <c r="A450" s="262" t="s">
        <v>171</v>
      </c>
      <c r="B450" s="261">
        <f t="shared" ref="B450:O450" si="303">+B7-B64</f>
        <v>99838266.286295891</v>
      </c>
      <c r="C450" s="261">
        <f t="shared" si="303"/>
        <v>-34457373.445807368</v>
      </c>
      <c r="D450" s="261">
        <f t="shared" si="303"/>
        <v>107159382.90415126</v>
      </c>
      <c r="E450" s="261">
        <f t="shared" si="303"/>
        <v>1260949843.8886774</v>
      </c>
      <c r="F450" s="261">
        <f t="shared" si="303"/>
        <v>-69668070.067453325</v>
      </c>
      <c r="G450" s="261">
        <f t="shared" si="303"/>
        <v>-100994065.91276501</v>
      </c>
      <c r="H450" s="261">
        <f t="shared" si="303"/>
        <v>-165239529.96582708</v>
      </c>
      <c r="I450" s="261">
        <f t="shared" si="303"/>
        <v>-127866413.16815507</v>
      </c>
      <c r="J450" s="261">
        <f t="shared" si="303"/>
        <v>-135791927.44944805</v>
      </c>
      <c r="K450" s="261">
        <f t="shared" si="303"/>
        <v>-179236643.17818093</v>
      </c>
      <c r="L450" s="261">
        <f t="shared" si="303"/>
        <v>-109918865.44074383</v>
      </c>
      <c r="M450" s="261">
        <f t="shared" si="303"/>
        <v>-146481769.84976077</v>
      </c>
      <c r="N450" s="261">
        <f t="shared" si="303"/>
        <v>-176409118.51464507</v>
      </c>
      <c r="O450" s="260">
        <f t="shared" si="303"/>
        <v>122210783.13337469</v>
      </c>
    </row>
    <row r="452" spans="1:44" x14ac:dyDescent="0.35">
      <c r="F452" s="41"/>
      <c r="O452" s="76"/>
    </row>
    <row r="453" spans="1:44" x14ac:dyDescent="0.35">
      <c r="B453" s="40"/>
      <c r="C453" s="40"/>
      <c r="O453" s="159" t="s">
        <v>4</v>
      </c>
      <c r="Q453" s="188">
        <v>2018</v>
      </c>
    </row>
    <row r="454" spans="1:44" x14ac:dyDescent="0.35">
      <c r="A454" s="191" t="s">
        <v>174</v>
      </c>
      <c r="C454" s="172">
        <f>SUM(C455:C457)</f>
        <v>29809000</v>
      </c>
      <c r="D454" s="172">
        <f t="shared" ref="D454:N454" si="304">SUM(D455:D458)</f>
        <v>22560000</v>
      </c>
      <c r="E454" s="172">
        <f t="shared" si="304"/>
        <v>27701000</v>
      </c>
      <c r="F454" s="172">
        <f t="shared" si="304"/>
        <v>16145000</v>
      </c>
      <c r="G454" s="172">
        <f t="shared" si="304"/>
        <v>17074000</v>
      </c>
      <c r="H454" s="172">
        <f t="shared" si="304"/>
        <v>16231000</v>
      </c>
      <c r="I454" s="172">
        <f t="shared" si="304"/>
        <v>23193000</v>
      </c>
      <c r="J454" s="172">
        <f t="shared" si="304"/>
        <v>17563000</v>
      </c>
      <c r="K454" s="172">
        <f t="shared" si="304"/>
        <v>17948000</v>
      </c>
      <c r="L454" s="172">
        <f t="shared" si="304"/>
        <v>15542000</v>
      </c>
      <c r="M454" s="172">
        <f t="shared" si="304"/>
        <v>7083782.8622337691</v>
      </c>
      <c r="N454" s="172">
        <f t="shared" si="304"/>
        <v>6182739.8691804921</v>
      </c>
      <c r="O454" s="172">
        <f t="shared" ref="O454" si="305">SUM(O455:O458)</f>
        <v>217032522.73141426</v>
      </c>
      <c r="P454" s="176"/>
      <c r="Q454" s="172">
        <f>SUM(Q455:Q457)</f>
        <v>220512493.18604255</v>
      </c>
      <c r="R454" s="178"/>
      <c r="S454" s="178"/>
      <c r="T454" s="176"/>
      <c r="U454" s="177"/>
      <c r="V454" s="178"/>
      <c r="W454" s="178"/>
      <c r="X454" s="176"/>
      <c r="Y454" s="177"/>
      <c r="Z454" s="178"/>
      <c r="AA454" s="178"/>
      <c r="AB454" s="176"/>
      <c r="AC454" s="177"/>
      <c r="AD454" s="178"/>
      <c r="AE454" s="178"/>
      <c r="AF454" s="176"/>
      <c r="AG454" s="177"/>
      <c r="AH454" s="178"/>
      <c r="AI454" s="178"/>
      <c r="AJ454" s="176"/>
      <c r="AK454" s="177"/>
      <c r="AL454" s="178"/>
      <c r="AM454" s="178"/>
      <c r="AN454" s="176"/>
      <c r="AO454" s="177"/>
      <c r="AP454" s="178"/>
      <c r="AQ454" s="178"/>
    </row>
    <row r="455" spans="1:44" x14ac:dyDescent="0.35">
      <c r="A455" s="192" t="s">
        <v>175</v>
      </c>
      <c r="C455" s="175">
        <v>19944000</v>
      </c>
      <c r="D455" s="175">
        <v>14391000</v>
      </c>
      <c r="E455" s="175">
        <v>17459000</v>
      </c>
      <c r="F455" s="175">
        <v>10295000</v>
      </c>
      <c r="G455" s="175">
        <v>10131000</v>
      </c>
      <c r="H455" s="175">
        <v>10459000</v>
      </c>
      <c r="I455" s="175">
        <v>14200000</v>
      </c>
      <c r="J455" s="175">
        <v>10884000</v>
      </c>
      <c r="K455" s="175">
        <v>11904000</v>
      </c>
      <c r="L455" s="175">
        <v>13045000</v>
      </c>
      <c r="M455" s="195">
        <v>4582408.5667770393</v>
      </c>
      <c r="N455" s="195">
        <v>3999457.3579381732</v>
      </c>
      <c r="O455" s="175">
        <f>SUM(C455:N455)</f>
        <v>141293865.92471522</v>
      </c>
      <c r="P455" s="187">
        <v>0.53</v>
      </c>
      <c r="Q455" s="172">
        <f>+O455*2%+O455</f>
        <v>144119743.24320951</v>
      </c>
      <c r="R455" s="181"/>
      <c r="S455" s="181"/>
      <c r="T455" s="179"/>
      <c r="U455" s="180"/>
      <c r="V455" s="181"/>
      <c r="W455" s="181"/>
      <c r="X455" s="179"/>
      <c r="Y455" s="180"/>
      <c r="Z455" s="181"/>
      <c r="AA455" s="181"/>
      <c r="AB455" s="179"/>
      <c r="AC455" s="180"/>
      <c r="AD455" s="181"/>
      <c r="AE455" s="181"/>
      <c r="AF455" s="179"/>
      <c r="AG455" s="180"/>
      <c r="AH455" s="181"/>
      <c r="AI455" s="181"/>
      <c r="AJ455" s="179"/>
      <c r="AK455" s="180"/>
      <c r="AL455" s="181"/>
      <c r="AM455" s="181"/>
      <c r="AN455" s="179"/>
      <c r="AO455" s="180"/>
      <c r="AP455" s="182"/>
      <c r="AQ455" s="182"/>
    </row>
    <row r="456" spans="1:44" x14ac:dyDescent="0.35">
      <c r="A456" s="192" t="s">
        <v>176</v>
      </c>
      <c r="C456" s="175">
        <v>15726000</v>
      </c>
      <c r="D456" s="175">
        <v>11824000</v>
      </c>
      <c r="E456" s="175">
        <v>13284000</v>
      </c>
      <c r="F456" s="175">
        <v>9060000</v>
      </c>
      <c r="G456" s="175">
        <v>9737000</v>
      </c>
      <c r="H456" s="175">
        <v>9418000</v>
      </c>
      <c r="I456" s="175">
        <v>11365000</v>
      </c>
      <c r="J456" s="175">
        <v>9409000</v>
      </c>
      <c r="K456" s="175">
        <v>10630000</v>
      </c>
      <c r="L456" s="175">
        <v>9721000</v>
      </c>
      <c r="M456" s="195">
        <v>4591374.2954567289</v>
      </c>
      <c r="N456" s="195">
        <v>4007282.5112423189</v>
      </c>
      <c r="O456" s="175">
        <f>SUM(C456:N456)</f>
        <v>118772656.80669904</v>
      </c>
      <c r="P456" s="187">
        <f>+O456/O454</f>
        <v>0.54725741244635751</v>
      </c>
      <c r="Q456" s="172">
        <f>+O456*2%+O456</f>
        <v>121148109.94283302</v>
      </c>
      <c r="R456" s="181"/>
      <c r="S456" s="181"/>
      <c r="T456" s="179"/>
      <c r="U456" s="180"/>
      <c r="V456" s="181"/>
      <c r="W456" s="181"/>
      <c r="X456" s="179"/>
      <c r="Y456" s="180"/>
      <c r="Z456" s="181"/>
      <c r="AA456" s="181"/>
      <c r="AB456" s="179"/>
      <c r="AC456" s="180"/>
      <c r="AD456" s="181"/>
      <c r="AE456" s="181"/>
      <c r="AF456" s="179"/>
      <c r="AG456" s="180"/>
      <c r="AH456" s="181"/>
      <c r="AI456" s="181"/>
      <c r="AJ456" s="179"/>
      <c r="AK456" s="180"/>
      <c r="AL456" s="181"/>
      <c r="AM456" s="181"/>
      <c r="AN456" s="179"/>
      <c r="AO456" s="180"/>
      <c r="AP456" s="182"/>
      <c r="AQ456" s="182"/>
    </row>
    <row r="457" spans="1:44" x14ac:dyDescent="0.35">
      <c r="A457" s="192" t="s">
        <v>539</v>
      </c>
      <c r="C457" s="175">
        <v>-5861000</v>
      </c>
      <c r="D457" s="175">
        <v>-3655000</v>
      </c>
      <c r="E457" s="175">
        <v>-3042000</v>
      </c>
      <c r="F457" s="175">
        <v>-3210000</v>
      </c>
      <c r="G457" s="175">
        <v>-2794000</v>
      </c>
      <c r="H457" s="175">
        <v>-3646000</v>
      </c>
      <c r="I457" s="175">
        <v>-2372000</v>
      </c>
      <c r="J457" s="175">
        <v>-2730000</v>
      </c>
      <c r="K457" s="175">
        <v>-4586000</v>
      </c>
      <c r="L457" s="175">
        <v>-7224000</v>
      </c>
      <c r="M457" s="195">
        <v>-2090000</v>
      </c>
      <c r="N457" s="195">
        <v>-1824000</v>
      </c>
      <c r="O457" s="175">
        <f>SUM(C457:N457)</f>
        <v>-43034000</v>
      </c>
      <c r="P457" s="187"/>
      <c r="Q457" s="172">
        <f t="shared" ref="Q457" si="306">+O457*4%+O457</f>
        <v>-44755360</v>
      </c>
      <c r="R457" s="181"/>
      <c r="S457" s="181"/>
      <c r="T457" s="179"/>
      <c r="U457" s="180"/>
      <c r="V457" s="181"/>
      <c r="W457" s="181"/>
      <c r="X457" s="179"/>
      <c r="Y457" s="180"/>
      <c r="Z457" s="181"/>
      <c r="AA457" s="181"/>
      <c r="AB457" s="179"/>
      <c r="AC457" s="180"/>
      <c r="AD457" s="181"/>
      <c r="AE457" s="181"/>
      <c r="AF457" s="179"/>
      <c r="AG457" s="180"/>
      <c r="AH457" s="181"/>
      <c r="AI457" s="181"/>
      <c r="AJ457" s="179"/>
      <c r="AK457" s="180"/>
      <c r="AL457" s="181"/>
      <c r="AM457" s="181"/>
      <c r="AN457" s="179"/>
      <c r="AO457" s="180"/>
      <c r="AP457" s="182"/>
      <c r="AQ457" s="182"/>
    </row>
    <row r="458" spans="1:44" x14ac:dyDescent="0.35">
      <c r="C458" s="183"/>
    </row>
    <row r="459" spans="1:44" x14ac:dyDescent="0.35">
      <c r="C459" s="196">
        <f>+C454/$O$454</f>
        <v>0.1373480786420648</v>
      </c>
      <c r="D459" s="196">
        <f t="shared" ref="D459:N459" si="307">+D454/$O$454</f>
        <v>0.10394755456959247</v>
      </c>
      <c r="E459" s="196">
        <f t="shared" si="307"/>
        <v>0.12763524863175005</v>
      </c>
      <c r="F459" s="196">
        <f t="shared" si="307"/>
        <v>7.4389772541049212E-2</v>
      </c>
      <c r="G459" s="196">
        <f t="shared" si="307"/>
        <v>7.8670237000054155E-2</v>
      </c>
      <c r="H459" s="196">
        <f t="shared" si="307"/>
        <v>7.4786026516802093E-2</v>
      </c>
      <c r="I459" s="196">
        <f t="shared" si="307"/>
        <v>0.10686416813530843</v>
      </c>
      <c r="J459" s="196">
        <f t="shared" si="307"/>
        <v>8.0923355536602501E-2</v>
      </c>
      <c r="K459" s="196">
        <f t="shared" si="307"/>
        <v>8.2697283218752013E-2</v>
      </c>
      <c r="L459" s="196">
        <f t="shared" si="307"/>
        <v>7.1611387106409838E-2</v>
      </c>
      <c r="M459" s="196">
        <f t="shared" si="307"/>
        <v>3.2639268866630697E-2</v>
      </c>
      <c r="N459" s="196">
        <f t="shared" si="307"/>
        <v>2.8487619234983785E-2</v>
      </c>
    </row>
    <row r="460" spans="1:44" x14ac:dyDescent="0.35">
      <c r="C460" s="186">
        <f>+C455/$O$455</f>
        <v>0.14115262449274793</v>
      </c>
      <c r="D460" s="186">
        <f t="shared" ref="D460:N460" si="308">+D455/$O$455</f>
        <v>0.10185155530862092</v>
      </c>
      <c r="E460" s="186">
        <f t="shared" si="308"/>
        <v>0.12356516601578851</v>
      </c>
      <c r="F460" s="186">
        <f t="shared" si="308"/>
        <v>7.2862327975974722E-2</v>
      </c>
      <c r="G460" s="186">
        <f t="shared" si="308"/>
        <v>7.1701626490976195E-2</v>
      </c>
      <c r="H460" s="186">
        <f t="shared" si="308"/>
        <v>7.402302946097325E-2</v>
      </c>
      <c r="I460" s="186">
        <f t="shared" si="308"/>
        <v>0.10049976272548237</v>
      </c>
      <c r="J460" s="186">
        <f t="shared" si="308"/>
        <v>7.7030944894658462E-2</v>
      </c>
      <c r="K460" s="186">
        <f t="shared" si="308"/>
        <v>8.4249941935502975E-2</v>
      </c>
      <c r="L460" s="186">
        <f t="shared" si="308"/>
        <v>9.232531019393786E-2</v>
      </c>
      <c r="M460" s="186">
        <f t="shared" si="308"/>
        <v>3.2431758709317624E-2</v>
      </c>
      <c r="N460" s="186">
        <f t="shared" si="308"/>
        <v>2.830595179601909E-2</v>
      </c>
    </row>
    <row r="461" spans="1:44" x14ac:dyDescent="0.35">
      <c r="C461" s="186">
        <f>+C456/$O$456</f>
        <v>0.13240421173363043</v>
      </c>
      <c r="D461" s="186">
        <f t="shared" ref="D461:N461" si="309">+D456/$O$456</f>
        <v>9.9551532464609321E-2</v>
      </c>
      <c r="E461" s="186">
        <f t="shared" si="309"/>
        <v>0.11184392399017846</v>
      </c>
      <c r="F461" s="186">
        <f t="shared" si="309"/>
        <v>7.6280183028531831E-2</v>
      </c>
      <c r="G461" s="186">
        <f t="shared" si="309"/>
        <v>8.1980148140045742E-2</v>
      </c>
      <c r="H461" s="186">
        <f t="shared" si="309"/>
        <v>7.9294344786171395E-2</v>
      </c>
      <c r="I461" s="186">
        <f t="shared" si="309"/>
        <v>9.5687006635680388E-2</v>
      </c>
      <c r="J461" s="186">
        <f t="shared" si="309"/>
        <v>7.9218569769917882E-2</v>
      </c>
      <c r="K461" s="186">
        <f t="shared" si="309"/>
        <v>8.9498713641643857E-2</v>
      </c>
      <c r="L461" s="186">
        <f t="shared" si="309"/>
        <v>8.1845437000039517E-2</v>
      </c>
      <c r="M461" s="186">
        <f t="shared" si="309"/>
        <v>3.8656829096019391E-2</v>
      </c>
      <c r="N461" s="186">
        <f t="shared" si="309"/>
        <v>3.3739099713531874E-2</v>
      </c>
    </row>
    <row r="462" spans="1:44" x14ac:dyDescent="0.35">
      <c r="C462" s="186">
        <f>+C457/$O$457</f>
        <v>0.13619463679881025</v>
      </c>
      <c r="D462" s="186">
        <f t="shared" ref="D462:N462" si="310">+D457/$O$457</f>
        <v>8.4932843797927218E-2</v>
      </c>
      <c r="E462" s="186">
        <f t="shared" si="310"/>
        <v>7.0688292977645589E-2</v>
      </c>
      <c r="F462" s="186">
        <f t="shared" si="310"/>
        <v>7.4592182925128966E-2</v>
      </c>
      <c r="G462" s="186">
        <f t="shared" si="310"/>
        <v>6.4925407817074871E-2</v>
      </c>
      <c r="H462" s="186">
        <f t="shared" si="310"/>
        <v>8.4723706836454901E-2</v>
      </c>
      <c r="I462" s="186">
        <f t="shared" si="310"/>
        <v>5.5119208068039223E-2</v>
      </c>
      <c r="J462" s="186">
        <f t="shared" si="310"/>
        <v>6.3438211646605014E-2</v>
      </c>
      <c r="K462" s="186">
        <f t="shared" si="310"/>
        <v>0.10656690059023098</v>
      </c>
      <c r="L462" s="186">
        <f t="shared" si="310"/>
        <v>0.16786726774178556</v>
      </c>
      <c r="M462" s="186">
        <f t="shared" si="310"/>
        <v>4.8566249941906399E-2</v>
      </c>
      <c r="N462" s="186">
        <f t="shared" si="310"/>
        <v>4.2385090858391039E-2</v>
      </c>
    </row>
    <row r="464" spans="1:44" x14ac:dyDescent="0.35">
      <c r="A464" s="191" t="s">
        <v>177</v>
      </c>
      <c r="C464" s="172">
        <f t="shared" ref="C464" si="311">SUM(C465:C468)</f>
        <v>142694000</v>
      </c>
      <c r="D464" s="172">
        <f t="shared" ref="D464:N464" si="312">SUM(D465:D468)</f>
        <v>221187000</v>
      </c>
      <c r="E464" s="172">
        <f t="shared" si="312"/>
        <v>1112103000</v>
      </c>
      <c r="F464" s="172">
        <f t="shared" si="312"/>
        <v>62793000</v>
      </c>
      <c r="G464" s="172">
        <f t="shared" si="312"/>
        <v>42117000</v>
      </c>
      <c r="H464" s="172">
        <f t="shared" si="312"/>
        <v>37856000</v>
      </c>
      <c r="I464" s="172">
        <f t="shared" si="312"/>
        <v>22483000</v>
      </c>
      <c r="J464" s="172">
        <f t="shared" si="312"/>
        <v>26057000</v>
      </c>
      <c r="K464" s="172">
        <f t="shared" si="312"/>
        <v>32756000</v>
      </c>
      <c r="L464" s="172">
        <f t="shared" si="312"/>
        <v>19442000</v>
      </c>
      <c r="M464" s="172">
        <f t="shared" si="312"/>
        <v>13993693.916094121</v>
      </c>
      <c r="N464" s="172">
        <f t="shared" si="312"/>
        <v>14637272.83278111</v>
      </c>
      <c r="O464" s="172">
        <f>SUM(O465:O468)</f>
        <v>1748118966.7488751</v>
      </c>
      <c r="P464" s="176"/>
      <c r="Q464" s="172">
        <f>+SUM(Q465:Q467)</f>
        <v>1976568764.426229</v>
      </c>
      <c r="R464" s="178"/>
      <c r="S464" s="178"/>
      <c r="T464" s="176"/>
      <c r="U464" s="177"/>
      <c r="V464" s="178"/>
      <c r="W464" s="178"/>
      <c r="X464" s="176"/>
      <c r="Y464" s="177"/>
      <c r="Z464" s="178"/>
      <c r="AA464" s="178"/>
      <c r="AB464" s="176"/>
      <c r="AC464" s="177"/>
      <c r="AD464" s="178"/>
      <c r="AE464" s="178"/>
      <c r="AF464" s="176"/>
      <c r="AG464" s="177"/>
      <c r="AH464" s="178"/>
      <c r="AI464" s="178"/>
      <c r="AJ464" s="176"/>
      <c r="AK464" s="177"/>
      <c r="AL464" s="178"/>
      <c r="AM464" s="178"/>
      <c r="AN464" s="176"/>
      <c r="AO464" s="177"/>
      <c r="AP464" s="178"/>
      <c r="AQ464" s="178"/>
      <c r="AR464" s="189"/>
    </row>
    <row r="465" spans="1:44" x14ac:dyDescent="0.35">
      <c r="A465" s="192" t="s">
        <v>178</v>
      </c>
      <c r="C465" s="175">
        <v>76016000</v>
      </c>
      <c r="D465" s="175">
        <v>120528000</v>
      </c>
      <c r="E465" s="175">
        <f>756331000+8000000</f>
        <v>764331000</v>
      </c>
      <c r="F465" s="175">
        <v>42021000</v>
      </c>
      <c r="G465" s="175">
        <v>28160000</v>
      </c>
      <c r="H465" s="175">
        <v>23193000</v>
      </c>
      <c r="I465" s="175">
        <v>16103000</v>
      </c>
      <c r="J465" s="175">
        <v>18120000</v>
      </c>
      <c r="K465" s="175">
        <v>21925000</v>
      </c>
      <c r="L465" s="175">
        <v>12639000</v>
      </c>
      <c r="M465" s="195">
        <v>7912635.8327680761</v>
      </c>
      <c r="N465" s="195">
        <f>6905384.28975167+3000000-115000-50</f>
        <v>9790334.2897516713</v>
      </c>
      <c r="O465" s="175">
        <f>SUM(C465:N465)</f>
        <v>1140738970.1225197</v>
      </c>
      <c r="P465" s="242">
        <v>0.64270000000000005</v>
      </c>
      <c r="Q465" s="172">
        <f>+O465*13%+O465</f>
        <v>1289035036.2384472</v>
      </c>
      <c r="R465" s="181"/>
      <c r="S465" s="181">
        <v>1289035036.2384472</v>
      </c>
      <c r="T465" s="179"/>
      <c r="U465" s="180"/>
      <c r="V465" s="181"/>
      <c r="W465" s="181"/>
      <c r="X465" s="179"/>
      <c r="Y465" s="180"/>
      <c r="Z465" s="181"/>
      <c r="AA465" s="181"/>
      <c r="AB465" s="179"/>
      <c r="AC465" s="180"/>
      <c r="AD465" s="181"/>
      <c r="AE465" s="181"/>
      <c r="AF465" s="179"/>
      <c r="AG465" s="180"/>
      <c r="AH465" s="181"/>
      <c r="AI465" s="181"/>
      <c r="AJ465" s="179"/>
      <c r="AK465" s="180"/>
      <c r="AL465" s="181"/>
      <c r="AM465" s="181"/>
      <c r="AN465" s="179"/>
      <c r="AO465" s="180"/>
      <c r="AP465" s="182"/>
      <c r="AQ465" s="182"/>
      <c r="AR465" s="189"/>
    </row>
    <row r="466" spans="1:44" x14ac:dyDescent="0.35">
      <c r="A466" s="192" t="s">
        <v>179</v>
      </c>
      <c r="C466" s="175">
        <v>66972000</v>
      </c>
      <c r="D466" s="175">
        <v>101380000</v>
      </c>
      <c r="E466" s="175">
        <f>356448000+4000000</f>
        <v>360448000</v>
      </c>
      <c r="F466" s="175">
        <v>20772000</v>
      </c>
      <c r="G466" s="175">
        <v>13957000</v>
      </c>
      <c r="H466" s="175">
        <v>14663000</v>
      </c>
      <c r="I466" s="175">
        <v>8598000</v>
      </c>
      <c r="J466" s="175">
        <v>7937000</v>
      </c>
      <c r="K466" s="175">
        <v>10831000</v>
      </c>
      <c r="L466" s="175">
        <v>6803000</v>
      </c>
      <c r="M466" s="195">
        <v>6081058.0833260445</v>
      </c>
      <c r="N466" s="195">
        <f>5306938.54302944-460000</f>
        <v>4846938.5430294396</v>
      </c>
      <c r="O466" s="175">
        <f t="shared" ref="O466:O468" si="313">SUM(C466:N466)</f>
        <v>623288996.62635553</v>
      </c>
      <c r="P466" s="242">
        <f>+O466/O464</f>
        <v>0.35654838628376584</v>
      </c>
      <c r="Q466" s="172">
        <f>+O466*13%+O466</f>
        <v>704316566.18778181</v>
      </c>
      <c r="R466" s="181"/>
      <c r="S466" s="181">
        <v>704316566.18778181</v>
      </c>
      <c r="T466" s="179"/>
      <c r="U466" s="180"/>
      <c r="V466" s="181"/>
      <c r="W466" s="181"/>
      <c r="X466" s="179"/>
      <c r="Y466" s="180"/>
      <c r="Z466" s="181"/>
      <c r="AA466" s="181"/>
      <c r="AB466" s="179"/>
      <c r="AC466" s="180"/>
      <c r="AD466" s="181"/>
      <c r="AE466" s="181"/>
      <c r="AF466" s="179"/>
      <c r="AG466" s="180"/>
      <c r="AH466" s="181"/>
      <c r="AI466" s="181"/>
      <c r="AJ466" s="179"/>
      <c r="AK466" s="180"/>
      <c r="AL466" s="181"/>
      <c r="AM466" s="181"/>
      <c r="AN466" s="179"/>
      <c r="AO466" s="180"/>
      <c r="AP466" s="182"/>
      <c r="AQ466" s="182"/>
      <c r="AR466" s="189"/>
    </row>
    <row r="467" spans="1:44" x14ac:dyDescent="0.35">
      <c r="A467" s="192" t="s">
        <v>669</v>
      </c>
      <c r="C467" s="175">
        <v>-294000</v>
      </c>
      <c r="D467" s="175">
        <v>-721000</v>
      </c>
      <c r="E467" s="175">
        <f>-12106000-570000</f>
        <v>-12676000</v>
      </c>
      <c r="F467" s="175">
        <v>0</v>
      </c>
      <c r="G467" s="175">
        <v>0</v>
      </c>
      <c r="H467" s="175">
        <v>0</v>
      </c>
      <c r="I467" s="175">
        <v>-2218000</v>
      </c>
      <c r="J467" s="175">
        <v>0</v>
      </c>
      <c r="K467" s="175">
        <v>0</v>
      </c>
      <c r="L467" s="175">
        <v>0</v>
      </c>
      <c r="M467" s="190">
        <v>0</v>
      </c>
      <c r="N467" s="190">
        <v>0</v>
      </c>
      <c r="O467" s="175">
        <f t="shared" si="313"/>
        <v>-15909000</v>
      </c>
      <c r="P467" s="242">
        <f>+O467/O464</f>
        <v>-9.1006392028268619E-3</v>
      </c>
      <c r="Q467" s="172">
        <f>+O467*5.5%+O467+1157</f>
        <v>-16782838</v>
      </c>
      <c r="R467" s="181"/>
      <c r="S467" s="181">
        <v>-16782838</v>
      </c>
      <c r="T467" s="179"/>
      <c r="U467" s="180"/>
      <c r="V467" s="181"/>
      <c r="W467" s="181"/>
      <c r="X467" s="179"/>
      <c r="Y467" s="180"/>
      <c r="Z467" s="181"/>
      <c r="AA467" s="181"/>
      <c r="AB467" s="179"/>
      <c r="AC467" s="180"/>
      <c r="AD467" s="181"/>
      <c r="AE467" s="181"/>
      <c r="AF467" s="179"/>
      <c r="AG467" s="180"/>
      <c r="AH467" s="181"/>
      <c r="AI467" s="181"/>
      <c r="AJ467" s="179"/>
      <c r="AK467" s="180"/>
      <c r="AL467" s="181"/>
      <c r="AM467" s="181"/>
      <c r="AN467" s="179"/>
      <c r="AO467" s="180"/>
      <c r="AP467" s="180"/>
      <c r="AQ467" s="180"/>
      <c r="AR467" s="189"/>
    </row>
    <row r="468" spans="1:44" x14ac:dyDescent="0.35">
      <c r="A468" s="192" t="s">
        <v>265</v>
      </c>
      <c r="C468" s="175">
        <v>0</v>
      </c>
      <c r="D468" s="175">
        <v>0</v>
      </c>
      <c r="E468" s="175">
        <v>0</v>
      </c>
      <c r="F468" s="175">
        <v>0</v>
      </c>
      <c r="G468" s="175">
        <v>0</v>
      </c>
      <c r="H468" s="175">
        <v>0</v>
      </c>
      <c r="I468" s="175">
        <v>0</v>
      </c>
      <c r="J468" s="175">
        <v>0</v>
      </c>
      <c r="K468" s="175">
        <v>0</v>
      </c>
      <c r="L468" s="175">
        <v>0</v>
      </c>
      <c r="M468" s="190">
        <v>0</v>
      </c>
      <c r="N468" s="190">
        <v>0</v>
      </c>
      <c r="O468" s="175">
        <f t="shared" si="313"/>
        <v>0</v>
      </c>
      <c r="P468" s="242">
        <f>+O468/O464</f>
        <v>0</v>
      </c>
      <c r="Q468" s="172">
        <f>+Q464*0%</f>
        <v>0</v>
      </c>
      <c r="R468" s="181"/>
      <c r="S468" s="181"/>
      <c r="T468" s="179"/>
      <c r="U468" s="180"/>
      <c r="V468" s="181"/>
      <c r="W468" s="181"/>
      <c r="X468" s="179"/>
      <c r="Y468" s="180"/>
      <c r="Z468" s="181"/>
      <c r="AA468" s="181"/>
      <c r="AB468" s="179"/>
      <c r="AC468" s="180"/>
      <c r="AD468" s="181"/>
      <c r="AE468" s="181"/>
      <c r="AF468" s="179"/>
      <c r="AG468" s="180"/>
      <c r="AH468" s="181"/>
      <c r="AI468" s="181"/>
      <c r="AJ468" s="179"/>
      <c r="AK468" s="180"/>
      <c r="AL468" s="181"/>
      <c r="AM468" s="181"/>
      <c r="AN468" s="179"/>
      <c r="AO468" s="180"/>
      <c r="AP468" s="180"/>
      <c r="AQ468" s="180"/>
      <c r="AR468" s="189"/>
    </row>
    <row r="469" spans="1:44" x14ac:dyDescent="0.35">
      <c r="A469" s="189"/>
    </row>
    <row r="470" spans="1:44" x14ac:dyDescent="0.35">
      <c r="C470" s="194">
        <f>+C464/$O$464</f>
        <v>8.1627167666614889E-2</v>
      </c>
      <c r="D470" s="194">
        <f t="shared" ref="D470:N470" si="314">+D464/$O$464</f>
        <v>0.12652857397420736</v>
      </c>
      <c r="E470" s="194">
        <f t="shared" si="314"/>
        <v>0.63617123385387897</v>
      </c>
      <c r="F470" s="194">
        <f t="shared" si="314"/>
        <v>3.5920324185247793E-2</v>
      </c>
      <c r="G470" s="194">
        <f t="shared" si="314"/>
        <v>2.4092753869222387E-2</v>
      </c>
      <c r="H470" s="194">
        <f t="shared" si="314"/>
        <v>2.1655276740349089E-2</v>
      </c>
      <c r="I470" s="194">
        <f t="shared" si="314"/>
        <v>1.286125282526597E-2</v>
      </c>
      <c r="J470" s="194">
        <f t="shared" si="314"/>
        <v>1.4905736105855775E-2</v>
      </c>
      <c r="K470" s="194">
        <f t="shared" si="314"/>
        <v>1.8737855159205272E-2</v>
      </c>
      <c r="L470" s="194">
        <f t="shared" si="314"/>
        <v>1.1121668702078058E-2</v>
      </c>
      <c r="M470" s="194">
        <f t="shared" si="314"/>
        <v>8.0050009079870449E-3</v>
      </c>
      <c r="N470" s="194">
        <f t="shared" si="314"/>
        <v>8.3731560100873941E-3</v>
      </c>
    </row>
    <row r="471" spans="1:44" x14ac:dyDescent="0.35">
      <c r="C471" s="193">
        <f>+C465/$O$465</f>
        <v>6.6637506029828708E-2</v>
      </c>
      <c r="D471" s="193">
        <f t="shared" ref="D471:N471" si="315">+D465/$O$465</f>
        <v>0.10565782633607654</v>
      </c>
      <c r="E471" s="193">
        <f t="shared" si="315"/>
        <v>0.67003146207752329</v>
      </c>
      <c r="F471" s="193">
        <f t="shared" si="315"/>
        <v>3.6836648085658709E-2</v>
      </c>
      <c r="G471" s="193">
        <f t="shared" si="315"/>
        <v>2.4685752602083461E-2</v>
      </c>
      <c r="H471" s="193">
        <f t="shared" si="315"/>
        <v>2.0331557531964549E-2</v>
      </c>
      <c r="I471" s="193">
        <f t="shared" si="315"/>
        <v>1.411628814457919E-2</v>
      </c>
      <c r="J471" s="193">
        <f t="shared" si="315"/>
        <v>1.5884440239692911E-2</v>
      </c>
      <c r="K471" s="193">
        <f t="shared" si="315"/>
        <v>1.9219997365080961E-2</v>
      </c>
      <c r="L471" s="193">
        <f t="shared" si="315"/>
        <v>1.1079660054606991E-2</v>
      </c>
      <c r="M471" s="193">
        <f t="shared" si="315"/>
        <v>6.9364123081709292E-3</v>
      </c>
      <c r="N471" s="193">
        <f t="shared" si="315"/>
        <v>8.5824492247338156E-3</v>
      </c>
    </row>
    <row r="472" spans="1:44" x14ac:dyDescent="0.35">
      <c r="C472" s="193">
        <f>+C466/$O$466</f>
        <v>0.10744935393131584</v>
      </c>
      <c r="D472" s="193">
        <f t="shared" ref="D472:N472" si="316">+D466/$O$466</f>
        <v>0.16265328049866809</v>
      </c>
      <c r="E472" s="193">
        <f t="shared" si="316"/>
        <v>0.57829995708407889</v>
      </c>
      <c r="F472" s="193">
        <f t="shared" si="316"/>
        <v>3.3326434627326235E-2</v>
      </c>
      <c r="G472" s="193">
        <f t="shared" si="316"/>
        <v>2.2392501833891406E-2</v>
      </c>
      <c r="H472" s="193">
        <f t="shared" si="316"/>
        <v>2.3525202721956701E-2</v>
      </c>
      <c r="I472" s="193">
        <f t="shared" si="316"/>
        <v>1.3794564073067157E-2</v>
      </c>
      <c r="J472" s="193">
        <f t="shared" si="316"/>
        <v>1.2734060833674577E-2</v>
      </c>
      <c r="K472" s="193">
        <f t="shared" si="316"/>
        <v>1.7377171839426653E-2</v>
      </c>
      <c r="L472" s="193">
        <f t="shared" si="316"/>
        <v>1.0914680087122106E-2</v>
      </c>
      <c r="M472" s="193">
        <f t="shared" si="316"/>
        <v>9.7564021124080108E-3</v>
      </c>
      <c r="N472" s="193">
        <f t="shared" si="316"/>
        <v>7.7763903570642447E-3</v>
      </c>
    </row>
    <row r="473" spans="1:44" x14ac:dyDescent="0.35">
      <c r="C473" s="193">
        <f>+C467/$O$467</f>
        <v>1.8480105600603432E-2</v>
      </c>
      <c r="D473" s="193">
        <f t="shared" ref="D473:N473" si="317">+D467/$O$467</f>
        <v>4.5320258972908416E-2</v>
      </c>
      <c r="E473" s="193">
        <f t="shared" si="317"/>
        <v>0.79678169589540515</v>
      </c>
      <c r="F473" s="193">
        <f t="shared" si="317"/>
        <v>0</v>
      </c>
      <c r="G473" s="193">
        <f t="shared" si="317"/>
        <v>0</v>
      </c>
      <c r="H473" s="193">
        <f t="shared" si="317"/>
        <v>0</v>
      </c>
      <c r="I473" s="193">
        <f t="shared" si="317"/>
        <v>0.13941793953108303</v>
      </c>
      <c r="J473" s="193">
        <f t="shared" si="317"/>
        <v>0</v>
      </c>
      <c r="K473" s="193">
        <f t="shared" si="317"/>
        <v>0</v>
      </c>
      <c r="L473" s="193">
        <f t="shared" si="317"/>
        <v>0</v>
      </c>
      <c r="M473" s="193">
        <f t="shared" si="317"/>
        <v>0</v>
      </c>
      <c r="N473" s="193">
        <f t="shared" si="317"/>
        <v>0</v>
      </c>
    </row>
    <row r="474" spans="1:44" x14ac:dyDescent="0.35"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</row>
    <row r="476" spans="1:44" x14ac:dyDescent="0.35">
      <c r="A476" s="191" t="s">
        <v>180</v>
      </c>
      <c r="C476" s="172">
        <f t="shared" ref="C476:O476" si="318">SUM(C477:C487)</f>
        <v>5055000</v>
      </c>
      <c r="D476" s="172">
        <f t="shared" si="318"/>
        <v>5330600</v>
      </c>
      <c r="E476" s="172">
        <f t="shared" si="318"/>
        <v>13923100</v>
      </c>
      <c r="F476" s="172">
        <f t="shared" si="318"/>
        <v>3383600</v>
      </c>
      <c r="G476" s="172">
        <f t="shared" si="318"/>
        <v>4393200</v>
      </c>
      <c r="H476" s="172">
        <f t="shared" si="318"/>
        <v>4124600</v>
      </c>
      <c r="I476" s="172">
        <f t="shared" si="318"/>
        <v>3765300</v>
      </c>
      <c r="J476" s="172">
        <f t="shared" si="318"/>
        <v>4204200</v>
      </c>
      <c r="K476" s="172">
        <f t="shared" si="318"/>
        <v>5034700</v>
      </c>
      <c r="L476" s="172">
        <f t="shared" si="318"/>
        <v>3478100</v>
      </c>
      <c r="M476" s="172">
        <f t="shared" si="318"/>
        <v>3173638.2166162282</v>
      </c>
      <c r="N476" s="172">
        <f t="shared" si="318"/>
        <v>2769462.2852125149</v>
      </c>
      <c r="O476" s="172">
        <f t="shared" si="318"/>
        <v>58635500.501828745</v>
      </c>
      <c r="Q476" s="172">
        <f>+O476*11%+O476</f>
        <v>65085405.557029903</v>
      </c>
      <c r="S476" s="376"/>
    </row>
    <row r="477" spans="1:44" x14ac:dyDescent="0.35">
      <c r="A477" s="192" t="s">
        <v>420</v>
      </c>
      <c r="C477" s="175">
        <v>0</v>
      </c>
      <c r="D477" s="175">
        <v>0</v>
      </c>
      <c r="E477" s="175">
        <v>0</v>
      </c>
      <c r="F477" s="175">
        <v>0</v>
      </c>
      <c r="G477" s="175">
        <v>0</v>
      </c>
      <c r="H477" s="175">
        <v>0</v>
      </c>
      <c r="I477" s="175">
        <v>0</v>
      </c>
      <c r="J477" s="175">
        <v>0</v>
      </c>
      <c r="K477" s="175">
        <v>0</v>
      </c>
      <c r="L477" s="175">
        <v>39000</v>
      </c>
      <c r="M477" s="195">
        <v>127230.22897352175</v>
      </c>
      <c r="N477" s="195">
        <v>111037.29074052809</v>
      </c>
      <c r="O477" s="47">
        <f>SUM(C477:N477)</f>
        <v>277267.51971404982</v>
      </c>
      <c r="P477" s="183">
        <f>+O477/$O$476</f>
        <v>4.7286629659689236E-3</v>
      </c>
      <c r="Q477" s="172">
        <f>+O477*11%+O477</f>
        <v>307766.94688259531</v>
      </c>
      <c r="S477" s="376"/>
    </row>
    <row r="478" spans="1:44" x14ac:dyDescent="0.35">
      <c r="A478" s="192" t="s">
        <v>181</v>
      </c>
      <c r="C478" s="175">
        <v>0</v>
      </c>
      <c r="D478" s="175">
        <v>78000</v>
      </c>
      <c r="E478" s="175">
        <v>195000</v>
      </c>
      <c r="F478" s="175">
        <v>0</v>
      </c>
      <c r="G478" s="175">
        <v>117000</v>
      </c>
      <c r="H478" s="175">
        <v>195000</v>
      </c>
      <c r="I478" s="175">
        <v>39000</v>
      </c>
      <c r="J478" s="175">
        <v>39000</v>
      </c>
      <c r="K478" s="175">
        <v>78000</v>
      </c>
      <c r="L478" s="175">
        <v>312000</v>
      </c>
      <c r="M478" s="195">
        <v>364782.93975831562</v>
      </c>
      <c r="N478" s="195">
        <v>318356.02015271183</v>
      </c>
      <c r="O478" s="47">
        <f t="shared" ref="O478:O487" si="319">SUM(C478:N478)</f>
        <v>1736138.9599110275</v>
      </c>
      <c r="P478" s="183">
        <f t="shared" ref="P478:P487" si="320">+O478/$O$476</f>
        <v>2.9609007257589286E-2</v>
      </c>
      <c r="Q478" s="172">
        <f t="shared" ref="Q478:Q487" si="321">+O478*11%+O478</f>
        <v>1927114.2455012405</v>
      </c>
      <c r="S478" s="376"/>
    </row>
    <row r="479" spans="1:44" x14ac:dyDescent="0.35">
      <c r="A479" s="192" t="s">
        <v>182</v>
      </c>
      <c r="C479" s="175">
        <v>819000</v>
      </c>
      <c r="D479" s="175">
        <v>468000</v>
      </c>
      <c r="E479" s="175">
        <v>1404000</v>
      </c>
      <c r="F479" s="175">
        <v>234000</v>
      </c>
      <c r="G479" s="175">
        <v>585000</v>
      </c>
      <c r="H479" s="175">
        <v>663000</v>
      </c>
      <c r="I479" s="175">
        <v>585000</v>
      </c>
      <c r="J479" s="175">
        <v>351000</v>
      </c>
      <c r="K479" s="175">
        <v>780000</v>
      </c>
      <c r="L479" s="175">
        <v>230400</v>
      </c>
      <c r="M479" s="195">
        <v>88085.862992097798</v>
      </c>
      <c r="N479" s="195">
        <v>76874.934974921707</v>
      </c>
      <c r="O479" s="47">
        <f t="shared" si="319"/>
        <v>6284360.7979670195</v>
      </c>
      <c r="P479" s="183">
        <f t="shared" si="320"/>
        <v>0.10717672304632278</v>
      </c>
      <c r="Q479" s="172">
        <f t="shared" si="321"/>
        <v>6975640.4857433913</v>
      </c>
      <c r="S479" s="376"/>
    </row>
    <row r="480" spans="1:44" x14ac:dyDescent="0.35">
      <c r="A480" s="192" t="s">
        <v>183</v>
      </c>
      <c r="C480" s="175">
        <v>140800</v>
      </c>
      <c r="D480" s="175">
        <v>320000</v>
      </c>
      <c r="E480" s="175">
        <v>204800</v>
      </c>
      <c r="F480" s="175">
        <v>179200</v>
      </c>
      <c r="G480" s="175">
        <v>217600</v>
      </c>
      <c r="H480" s="175">
        <v>153600</v>
      </c>
      <c r="I480" s="175">
        <v>268800</v>
      </c>
      <c r="J480" s="175">
        <v>192000</v>
      </c>
      <c r="K480" s="175">
        <v>179200</v>
      </c>
      <c r="L480" s="175"/>
      <c r="M480" s="195">
        <v>0</v>
      </c>
      <c r="N480" s="195">
        <v>0</v>
      </c>
      <c r="O480" s="47">
        <f t="shared" si="319"/>
        <v>1856000</v>
      </c>
      <c r="P480" s="183">
        <f t="shared" si="320"/>
        <v>3.1653179117011453E-2</v>
      </c>
      <c r="Q480" s="172">
        <f t="shared" si="321"/>
        <v>2060160</v>
      </c>
      <c r="S480" s="376"/>
    </row>
    <row r="481" spans="1:19" x14ac:dyDescent="0.35">
      <c r="A481" s="192" t="s">
        <v>184</v>
      </c>
      <c r="C481" s="175">
        <v>0</v>
      </c>
      <c r="D481" s="175">
        <v>0</v>
      </c>
      <c r="E481" s="175">
        <v>0</v>
      </c>
      <c r="F481" s="175">
        <v>0</v>
      </c>
      <c r="G481" s="175">
        <v>0</v>
      </c>
      <c r="H481" s="175">
        <v>0</v>
      </c>
      <c r="I481" s="175">
        <v>0</v>
      </c>
      <c r="J481" s="175">
        <v>0</v>
      </c>
      <c r="K481" s="175">
        <v>0</v>
      </c>
      <c r="L481" s="175">
        <v>0</v>
      </c>
      <c r="M481" s="195">
        <v>0</v>
      </c>
      <c r="N481" s="195">
        <v>0</v>
      </c>
      <c r="O481" s="47">
        <f t="shared" si="319"/>
        <v>0</v>
      </c>
      <c r="P481" s="183">
        <f t="shared" si="320"/>
        <v>0</v>
      </c>
      <c r="Q481" s="172">
        <f t="shared" si="321"/>
        <v>0</v>
      </c>
      <c r="S481" s="376"/>
    </row>
    <row r="482" spans="1:19" x14ac:dyDescent="0.35">
      <c r="A482" s="192" t="s">
        <v>185</v>
      </c>
      <c r="C482" s="175">
        <v>0</v>
      </c>
      <c r="D482" s="175">
        <v>0</v>
      </c>
      <c r="E482" s="175">
        <v>0</v>
      </c>
      <c r="F482" s="175">
        <v>0</v>
      </c>
      <c r="G482" s="175">
        <v>0</v>
      </c>
      <c r="H482" s="175">
        <v>0</v>
      </c>
      <c r="I482" s="175">
        <v>0</v>
      </c>
      <c r="J482" s="175">
        <v>0</v>
      </c>
      <c r="K482" s="175">
        <v>0</v>
      </c>
      <c r="L482" s="175">
        <v>0</v>
      </c>
      <c r="M482" s="195">
        <v>0</v>
      </c>
      <c r="N482" s="195">
        <v>0</v>
      </c>
      <c r="O482" s="47">
        <f t="shared" si="319"/>
        <v>0</v>
      </c>
      <c r="P482" s="183">
        <f t="shared" si="320"/>
        <v>0</v>
      </c>
      <c r="Q482" s="172">
        <f t="shared" si="321"/>
        <v>0</v>
      </c>
      <c r="S482" s="376"/>
    </row>
    <row r="483" spans="1:19" x14ac:dyDescent="0.35">
      <c r="A483" s="192" t="s">
        <v>186</v>
      </c>
      <c r="C483" s="175">
        <v>39000</v>
      </c>
      <c r="D483" s="175">
        <v>0</v>
      </c>
      <c r="E483" s="175">
        <v>39000</v>
      </c>
      <c r="F483" s="175">
        <v>0</v>
      </c>
      <c r="G483" s="175">
        <v>0</v>
      </c>
      <c r="H483" s="175">
        <v>0</v>
      </c>
      <c r="I483" s="175">
        <v>0</v>
      </c>
      <c r="J483" s="175">
        <v>39000</v>
      </c>
      <c r="K483" s="175">
        <v>0</v>
      </c>
      <c r="L483" s="175">
        <v>0</v>
      </c>
      <c r="M483" s="195">
        <v>0</v>
      </c>
      <c r="N483" s="195">
        <v>0</v>
      </c>
      <c r="O483" s="47">
        <f t="shared" si="319"/>
        <v>117000</v>
      </c>
      <c r="P483" s="183">
        <f t="shared" si="320"/>
        <v>1.9953782094236745E-3</v>
      </c>
      <c r="Q483" s="172">
        <f t="shared" si="321"/>
        <v>129870</v>
      </c>
      <c r="S483" s="376"/>
    </row>
    <row r="484" spans="1:19" x14ac:dyDescent="0.35">
      <c r="A484" s="192" t="s">
        <v>187</v>
      </c>
      <c r="C484" s="175">
        <v>603300</v>
      </c>
      <c r="D484" s="175">
        <v>700400</v>
      </c>
      <c r="E484" s="175">
        <v>1202900</v>
      </c>
      <c r="F484" s="175">
        <v>751900</v>
      </c>
      <c r="G484" s="175">
        <v>1241900</v>
      </c>
      <c r="H484" s="175">
        <v>1254400</v>
      </c>
      <c r="I484" s="175">
        <v>731300</v>
      </c>
      <c r="J484" s="175">
        <v>1389800</v>
      </c>
      <c r="K484" s="175">
        <v>1159500</v>
      </c>
      <c r="L484" s="175">
        <v>910100</v>
      </c>
      <c r="M484" s="195">
        <v>726106.27373163681</v>
      </c>
      <c r="N484" s="195">
        <v>634153.95085732476</v>
      </c>
      <c r="O484" s="47">
        <f t="shared" si="319"/>
        <v>11305760.224588962</v>
      </c>
      <c r="P484" s="183">
        <f t="shared" si="320"/>
        <v>0.19281425293259591</v>
      </c>
      <c r="Q484" s="172">
        <f t="shared" si="321"/>
        <v>12549393.849293748</v>
      </c>
      <c r="S484" s="376"/>
    </row>
    <row r="485" spans="1:19" x14ac:dyDescent="0.35">
      <c r="A485" s="192" t="s">
        <v>188</v>
      </c>
      <c r="C485" s="175">
        <v>3413900</v>
      </c>
      <c r="D485" s="175">
        <v>3725200</v>
      </c>
      <c r="E485" s="175">
        <v>10448400</v>
      </c>
      <c r="F485" s="175">
        <v>2179500</v>
      </c>
      <c r="G485" s="175">
        <v>2114700</v>
      </c>
      <c r="H485" s="175">
        <v>1780600</v>
      </c>
      <c r="I485" s="175">
        <v>2141200</v>
      </c>
      <c r="J485" s="175">
        <v>2037400</v>
      </c>
      <c r="K485" s="175">
        <v>2643000</v>
      </c>
      <c r="L485" s="175">
        <v>1986600</v>
      </c>
      <c r="M485" s="195">
        <v>1750260.1851551975</v>
      </c>
      <c r="N485" s="195">
        <f>1528004.92354819</f>
        <v>1528004.9235481899</v>
      </c>
      <c r="O485" s="47">
        <f t="shared" si="319"/>
        <v>35748765.10870339</v>
      </c>
      <c r="P485" s="183">
        <f t="shared" si="320"/>
        <v>0.60967783685224008</v>
      </c>
      <c r="Q485" s="172">
        <f>+O485*11%+O485+20130</f>
        <v>39701259.270660765</v>
      </c>
      <c r="S485" s="376"/>
    </row>
    <row r="486" spans="1:19" x14ac:dyDescent="0.35">
      <c r="A486" s="192" t="s">
        <v>189</v>
      </c>
      <c r="C486" s="175">
        <v>0</v>
      </c>
      <c r="D486" s="175">
        <v>39000</v>
      </c>
      <c r="E486" s="175">
        <v>0</v>
      </c>
      <c r="F486" s="175">
        <v>0</v>
      </c>
      <c r="G486" s="175">
        <v>0</v>
      </c>
      <c r="H486" s="175">
        <v>0</v>
      </c>
      <c r="I486" s="175">
        <v>0</v>
      </c>
      <c r="J486" s="175">
        <v>0</v>
      </c>
      <c r="K486" s="175">
        <v>78000</v>
      </c>
      <c r="L486" s="175">
        <v>0</v>
      </c>
      <c r="M486" s="195">
        <v>0</v>
      </c>
      <c r="N486" s="195">
        <v>0</v>
      </c>
      <c r="O486" s="47">
        <f t="shared" si="319"/>
        <v>117000</v>
      </c>
      <c r="P486" s="183">
        <f t="shared" si="320"/>
        <v>1.9953782094236745E-3</v>
      </c>
      <c r="Q486" s="172">
        <f t="shared" si="321"/>
        <v>129870</v>
      </c>
      <c r="S486" s="376"/>
    </row>
    <row r="487" spans="1:19" x14ac:dyDescent="0.35">
      <c r="A487" s="192" t="s">
        <v>190</v>
      </c>
      <c r="C487" s="175">
        <v>39000</v>
      </c>
      <c r="D487" s="175">
        <v>0</v>
      </c>
      <c r="E487" s="175">
        <v>429000</v>
      </c>
      <c r="F487" s="175">
        <v>39000</v>
      </c>
      <c r="G487" s="175">
        <v>117000</v>
      </c>
      <c r="H487" s="175">
        <v>78000</v>
      </c>
      <c r="I487" s="175">
        <v>0</v>
      </c>
      <c r="J487" s="175">
        <v>156000</v>
      </c>
      <c r="K487" s="175">
        <v>117000</v>
      </c>
      <c r="L487" s="175">
        <v>0</v>
      </c>
      <c r="M487" s="195">
        <v>117172.72600545865</v>
      </c>
      <c r="N487" s="195">
        <v>101035.16493883858</v>
      </c>
      <c r="O487" s="47">
        <f t="shared" si="319"/>
        <v>1193207.8909442974</v>
      </c>
      <c r="P487" s="183">
        <f t="shared" si="320"/>
        <v>2.0349581409424198E-2</v>
      </c>
      <c r="Q487" s="172">
        <f t="shared" si="321"/>
        <v>1324460.7589481701</v>
      </c>
      <c r="S487" s="376"/>
    </row>
    <row r="488" spans="1:19" x14ac:dyDescent="0.35">
      <c r="Q488" s="39"/>
    </row>
    <row r="489" spans="1:19" x14ac:dyDescent="0.35">
      <c r="C489" s="194">
        <f t="shared" ref="C489:N489" si="322">+C476/$O$476</f>
        <v>8.6210571355869001E-2</v>
      </c>
      <c r="D489" s="194">
        <f t="shared" si="322"/>
        <v>9.0910795582511444E-2</v>
      </c>
      <c r="E489" s="194">
        <f t="shared" si="322"/>
        <v>0.23745171237287829</v>
      </c>
      <c r="F489" s="194">
        <f t="shared" si="322"/>
        <v>5.7705655635948247E-2</v>
      </c>
      <c r="G489" s="194">
        <f t="shared" si="322"/>
        <v>7.4923893586667401E-2</v>
      </c>
      <c r="H489" s="194">
        <f t="shared" si="322"/>
        <v>7.0343050962298176E-2</v>
      </c>
      <c r="I489" s="194">
        <f t="shared" si="322"/>
        <v>6.4215363862760347E-2</v>
      </c>
      <c r="J489" s="194">
        <f t="shared" si="322"/>
        <v>7.1700590325290692E-2</v>
      </c>
      <c r="K489" s="194">
        <f t="shared" si="322"/>
        <v>8.5864364709276692E-2</v>
      </c>
      <c r="L489" s="194">
        <f t="shared" si="322"/>
        <v>5.9317307266636594E-2</v>
      </c>
      <c r="M489" s="194">
        <f t="shared" si="322"/>
        <v>5.4124859333591735E-2</v>
      </c>
      <c r="N489" s="194">
        <f t="shared" si="322"/>
        <v>4.723183500627133E-2</v>
      </c>
    </row>
    <row r="490" spans="1:19" x14ac:dyDescent="0.35">
      <c r="C490" s="193">
        <f t="shared" ref="C490:N490" si="323">+C477/$O$477</f>
        <v>0</v>
      </c>
      <c r="D490" s="193">
        <f t="shared" si="323"/>
        <v>0</v>
      </c>
      <c r="E490" s="193">
        <f t="shared" si="323"/>
        <v>0</v>
      </c>
      <c r="F490" s="193">
        <f t="shared" si="323"/>
        <v>0</v>
      </c>
      <c r="G490" s="193">
        <f t="shared" si="323"/>
        <v>0</v>
      </c>
      <c r="H490" s="193">
        <f t="shared" si="323"/>
        <v>0</v>
      </c>
      <c r="I490" s="193">
        <f t="shared" si="323"/>
        <v>0</v>
      </c>
      <c r="J490" s="193">
        <f t="shared" si="323"/>
        <v>0</v>
      </c>
      <c r="K490" s="193">
        <f t="shared" si="323"/>
        <v>0</v>
      </c>
      <c r="L490" s="193">
        <f t="shared" si="323"/>
        <v>0.1406583794604622</v>
      </c>
      <c r="M490" s="193">
        <f t="shared" si="323"/>
        <v>0.45887173912305418</v>
      </c>
      <c r="N490" s="193">
        <f t="shared" si="323"/>
        <v>0.40046988141648371</v>
      </c>
    </row>
    <row r="491" spans="1:19" x14ac:dyDescent="0.35">
      <c r="C491" s="193">
        <f>+C478/$O$478</f>
        <v>0</v>
      </c>
      <c r="D491" s="193">
        <f t="shared" ref="D491:N491" si="324">+D478/$O$478</f>
        <v>4.4927279325611871E-2</v>
      </c>
      <c r="E491" s="193">
        <f t="shared" si="324"/>
        <v>0.11231819831402967</v>
      </c>
      <c r="F491" s="193">
        <f t="shared" si="324"/>
        <v>0</v>
      </c>
      <c r="G491" s="193">
        <f t="shared" si="324"/>
        <v>6.73909189884178E-2</v>
      </c>
      <c r="H491" s="193">
        <f t="shared" si="324"/>
        <v>0.11231819831402967</v>
      </c>
      <c r="I491" s="193">
        <f t="shared" si="324"/>
        <v>2.2463639662805936E-2</v>
      </c>
      <c r="J491" s="193">
        <f t="shared" si="324"/>
        <v>2.2463639662805936E-2</v>
      </c>
      <c r="K491" s="193">
        <f t="shared" si="324"/>
        <v>4.4927279325611871E-2</v>
      </c>
      <c r="L491" s="193">
        <f t="shared" si="324"/>
        <v>0.17970911730244749</v>
      </c>
      <c r="M491" s="193">
        <f t="shared" si="324"/>
        <v>0.21011160291973965</v>
      </c>
      <c r="N491" s="193">
        <f t="shared" si="324"/>
        <v>0.18337012618450008</v>
      </c>
    </row>
    <row r="492" spans="1:19" x14ac:dyDescent="0.35">
      <c r="C492" s="193">
        <f>+C479/$O$479</f>
        <v>0.13032351679504861</v>
      </c>
      <c r="D492" s="193">
        <f t="shared" ref="D492:N492" si="325">+D479/$O$479</f>
        <v>7.4470581025742069E-2</v>
      </c>
      <c r="E492" s="193">
        <f t="shared" si="325"/>
        <v>0.22341174307722619</v>
      </c>
      <c r="F492" s="193">
        <f t="shared" si="325"/>
        <v>3.7235290512871035E-2</v>
      </c>
      <c r="G492" s="193">
        <f t="shared" si="325"/>
        <v>9.3088226282177583E-2</v>
      </c>
      <c r="H492" s="193">
        <f t="shared" si="325"/>
        <v>0.10549998978646793</v>
      </c>
      <c r="I492" s="193">
        <f t="shared" si="325"/>
        <v>9.3088226282177583E-2</v>
      </c>
      <c r="J492" s="193">
        <f t="shared" si="325"/>
        <v>5.5852935769306548E-2</v>
      </c>
      <c r="K492" s="193">
        <f t="shared" si="325"/>
        <v>0.12411763504290345</v>
      </c>
      <c r="L492" s="193">
        <f t="shared" si="325"/>
        <v>3.6662439889596096E-2</v>
      </c>
      <c r="M492" s="193">
        <f t="shared" si="325"/>
        <v>1.4016678199092808E-2</v>
      </c>
      <c r="N492" s="193">
        <f t="shared" si="325"/>
        <v>1.2232737337390085E-2</v>
      </c>
    </row>
    <row r="493" spans="1:19" x14ac:dyDescent="0.35">
      <c r="C493" s="193">
        <f>+C480/$O$480</f>
        <v>7.586206896551724E-2</v>
      </c>
      <c r="D493" s="193">
        <f t="shared" ref="D493:N493" si="326">+D480/$O$480</f>
        <v>0.17241379310344829</v>
      </c>
      <c r="E493" s="193">
        <f t="shared" si="326"/>
        <v>0.1103448275862069</v>
      </c>
      <c r="F493" s="193">
        <f t="shared" si="326"/>
        <v>9.6551724137931033E-2</v>
      </c>
      <c r="G493" s="193">
        <f t="shared" si="326"/>
        <v>0.11724137931034483</v>
      </c>
      <c r="H493" s="193">
        <f t="shared" si="326"/>
        <v>8.2758620689655171E-2</v>
      </c>
      <c r="I493" s="193">
        <f t="shared" si="326"/>
        <v>0.14482758620689656</v>
      </c>
      <c r="J493" s="193">
        <f t="shared" si="326"/>
        <v>0.10344827586206896</v>
      </c>
      <c r="K493" s="193">
        <f t="shared" si="326"/>
        <v>9.6551724137931033E-2</v>
      </c>
      <c r="L493" s="193">
        <f t="shared" si="326"/>
        <v>0</v>
      </c>
      <c r="M493" s="193">
        <f t="shared" si="326"/>
        <v>0</v>
      </c>
      <c r="N493" s="193">
        <f t="shared" si="326"/>
        <v>0</v>
      </c>
    </row>
    <row r="494" spans="1:19" x14ac:dyDescent="0.35">
      <c r="C494" s="193">
        <v>0</v>
      </c>
      <c r="D494" s="193">
        <v>0</v>
      </c>
      <c r="E494" s="193">
        <v>0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</row>
    <row r="495" spans="1:19" x14ac:dyDescent="0.35">
      <c r="C495" s="193">
        <v>0</v>
      </c>
      <c r="D495" s="193">
        <v>0</v>
      </c>
      <c r="E495" s="193">
        <v>0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</row>
    <row r="496" spans="1:19" x14ac:dyDescent="0.35">
      <c r="C496" s="193">
        <f>+C483/$O$483</f>
        <v>0.33333333333333331</v>
      </c>
      <c r="D496" s="193">
        <f t="shared" ref="D496:N496" si="327">+D483/$O$483</f>
        <v>0</v>
      </c>
      <c r="E496" s="193">
        <f t="shared" si="327"/>
        <v>0.33333333333333331</v>
      </c>
      <c r="F496" s="193">
        <f t="shared" si="327"/>
        <v>0</v>
      </c>
      <c r="G496" s="193">
        <f t="shared" si="327"/>
        <v>0</v>
      </c>
      <c r="H496" s="193">
        <f t="shared" si="327"/>
        <v>0</v>
      </c>
      <c r="I496" s="193">
        <f t="shared" si="327"/>
        <v>0</v>
      </c>
      <c r="J496" s="193">
        <f t="shared" si="327"/>
        <v>0.33333333333333331</v>
      </c>
      <c r="K496" s="193">
        <f t="shared" si="327"/>
        <v>0</v>
      </c>
      <c r="L496" s="193">
        <f t="shared" si="327"/>
        <v>0</v>
      </c>
      <c r="M496" s="193">
        <f t="shared" si="327"/>
        <v>0</v>
      </c>
      <c r="N496" s="193">
        <f t="shared" si="327"/>
        <v>0</v>
      </c>
    </row>
    <row r="497" spans="1:19" x14ac:dyDescent="0.35">
      <c r="C497" s="193">
        <f>+C484/$O$484</f>
        <v>5.3362178926091089E-2</v>
      </c>
      <c r="D497" s="193">
        <f t="shared" ref="D497:N497" si="328">+D484/$O$484</f>
        <v>6.1950721232942485E-2</v>
      </c>
      <c r="E497" s="193">
        <f t="shared" si="328"/>
        <v>0.10639709104955242</v>
      </c>
      <c r="F497" s="193">
        <f t="shared" si="328"/>
        <v>6.6505921323600017E-2</v>
      </c>
      <c r="G497" s="193">
        <f t="shared" si="328"/>
        <v>0.10984666005024453</v>
      </c>
      <c r="H497" s="193">
        <f t="shared" si="328"/>
        <v>0.11095229114020995</v>
      </c>
      <c r="I497" s="193">
        <f t="shared" si="328"/>
        <v>6.4683841287337007E-2</v>
      </c>
      <c r="J497" s="193">
        <f t="shared" si="328"/>
        <v>0.12292848710671539</v>
      </c>
      <c r="K497" s="193">
        <f t="shared" si="328"/>
        <v>0.10255833990519247</v>
      </c>
      <c r="L497" s="193">
        <f t="shared" si="328"/>
        <v>8.0498788398202389E-2</v>
      </c>
      <c r="M497" s="193">
        <f t="shared" si="328"/>
        <v>6.4224453668531203E-2</v>
      </c>
      <c r="N497" s="193">
        <f t="shared" si="328"/>
        <v>5.6091225911380972E-2</v>
      </c>
    </row>
    <row r="498" spans="1:19" x14ac:dyDescent="0.35">
      <c r="C498" s="193">
        <f>+C485/$O$485</f>
        <v>9.5497004990778053E-2</v>
      </c>
      <c r="D498" s="193">
        <f t="shared" ref="D498:N498" si="329">+D485/$O$485</f>
        <v>0.10420499809357228</v>
      </c>
      <c r="E498" s="193">
        <f t="shared" si="329"/>
        <v>0.29227303287900802</v>
      </c>
      <c r="F498" s="193">
        <f t="shared" si="329"/>
        <v>6.0967140917250293E-2</v>
      </c>
      <c r="G498" s="193">
        <f t="shared" si="329"/>
        <v>5.9154490891355445E-2</v>
      </c>
      <c r="H498" s="193">
        <f t="shared" si="329"/>
        <v>4.9808713520190812E-2</v>
      </c>
      <c r="I498" s="193">
        <f t="shared" si="329"/>
        <v>5.9895775238364909E-2</v>
      </c>
      <c r="J498" s="193">
        <f t="shared" si="329"/>
        <v>5.6992178437625947E-2</v>
      </c>
      <c r="K498" s="193">
        <f t="shared" si="329"/>
        <v>7.3932623741359269E-2</v>
      </c>
      <c r="L498" s="193">
        <f t="shared" si="329"/>
        <v>5.5571150330905907E-2</v>
      </c>
      <c r="M498" s="193">
        <f t="shared" si="329"/>
        <v>4.8960018054695811E-2</v>
      </c>
      <c r="N498" s="193">
        <f t="shared" si="329"/>
        <v>4.274287290489321E-2</v>
      </c>
    </row>
    <row r="499" spans="1:19" x14ac:dyDescent="0.35">
      <c r="C499" s="193">
        <f>+C486/$O$486</f>
        <v>0</v>
      </c>
      <c r="D499" s="193">
        <f t="shared" ref="D499:N499" si="330">+D486/$O$486</f>
        <v>0.33333333333333331</v>
      </c>
      <c r="E499" s="193">
        <f t="shared" si="330"/>
        <v>0</v>
      </c>
      <c r="F499" s="193">
        <f t="shared" si="330"/>
        <v>0</v>
      </c>
      <c r="G499" s="193">
        <f t="shared" si="330"/>
        <v>0</v>
      </c>
      <c r="H499" s="193">
        <f t="shared" si="330"/>
        <v>0</v>
      </c>
      <c r="I499" s="193">
        <f t="shared" si="330"/>
        <v>0</v>
      </c>
      <c r="J499" s="193">
        <f t="shared" si="330"/>
        <v>0</v>
      </c>
      <c r="K499" s="193">
        <f t="shared" si="330"/>
        <v>0.66666666666666663</v>
      </c>
      <c r="L499" s="193">
        <f t="shared" si="330"/>
        <v>0</v>
      </c>
      <c r="M499" s="193">
        <f t="shared" si="330"/>
        <v>0</v>
      </c>
      <c r="N499" s="193">
        <f t="shared" si="330"/>
        <v>0</v>
      </c>
    </row>
    <row r="500" spans="1:19" x14ac:dyDescent="0.35">
      <c r="C500" s="193">
        <f>+C487/$O$487</f>
        <v>3.2685000070805464E-2</v>
      </c>
      <c r="D500" s="193">
        <f t="shared" ref="D500:N500" si="331">+D487/$O$487</f>
        <v>0</v>
      </c>
      <c r="E500" s="193">
        <f t="shared" si="331"/>
        <v>0.35953500077886008</v>
      </c>
      <c r="F500" s="193">
        <f t="shared" si="331"/>
        <v>3.2685000070805464E-2</v>
      </c>
      <c r="G500" s="193">
        <f t="shared" si="331"/>
        <v>9.8055000212416393E-2</v>
      </c>
      <c r="H500" s="193">
        <f t="shared" si="331"/>
        <v>6.5370000141610929E-2</v>
      </c>
      <c r="I500" s="193">
        <f t="shared" si="331"/>
        <v>0</v>
      </c>
      <c r="J500" s="193">
        <f t="shared" si="331"/>
        <v>0.13074000028322186</v>
      </c>
      <c r="K500" s="193">
        <f t="shared" si="331"/>
        <v>9.8055000212416393E-2</v>
      </c>
      <c r="L500" s="193">
        <f t="shared" si="331"/>
        <v>0</v>
      </c>
      <c r="M500" s="193">
        <f t="shared" si="331"/>
        <v>9.8199757891920134E-2</v>
      </c>
      <c r="N500" s="193">
        <f t="shared" si="331"/>
        <v>8.4675240337943103E-2</v>
      </c>
    </row>
    <row r="501" spans="1:19" x14ac:dyDescent="0.35">
      <c r="C501" s="184"/>
    </row>
    <row r="502" spans="1:19" x14ac:dyDescent="0.35">
      <c r="A502" s="191" t="s">
        <v>191</v>
      </c>
      <c r="C502" s="172">
        <v>7160400</v>
      </c>
      <c r="D502" s="172">
        <v>9100000</v>
      </c>
      <c r="E502" s="172">
        <v>27653600</v>
      </c>
      <c r="F502" s="172">
        <v>2516800</v>
      </c>
      <c r="G502" s="172">
        <v>2126800</v>
      </c>
      <c r="H502" s="172">
        <v>2038400</v>
      </c>
      <c r="I502" s="172">
        <v>1804400</v>
      </c>
      <c r="J502" s="172">
        <v>1601600</v>
      </c>
      <c r="K502" s="172">
        <v>1851200</v>
      </c>
      <c r="L502" s="172">
        <v>1294800</v>
      </c>
      <c r="M502" s="197">
        <v>801864</v>
      </c>
      <c r="N502" s="197">
        <v>699300</v>
      </c>
      <c r="O502" s="47">
        <f>SUM(C502:N502)</f>
        <v>58649164</v>
      </c>
      <c r="Q502" s="198">
        <f>+O502*12%+O502</f>
        <v>65687063.68</v>
      </c>
    </row>
    <row r="503" spans="1:19" x14ac:dyDescent="0.35">
      <c r="C503" s="178"/>
    </row>
    <row r="504" spans="1:19" x14ac:dyDescent="0.35">
      <c r="C504" s="193">
        <f>+C502/$O$502</f>
        <v>0.12208869678005982</v>
      </c>
      <c r="D504" s="193">
        <f t="shared" ref="D504:N504" si="332">+D502/$O$502</f>
        <v>0.15515992691728733</v>
      </c>
      <c r="E504" s="193">
        <f t="shared" si="332"/>
        <v>0.47150885219779093</v>
      </c>
      <c r="F504" s="193">
        <f t="shared" si="332"/>
        <v>4.2912802644552613E-2</v>
      </c>
      <c r="G504" s="193">
        <f t="shared" si="332"/>
        <v>3.6263091490954587E-2</v>
      </c>
      <c r="H504" s="193">
        <f t="shared" si="332"/>
        <v>3.4755823629472368E-2</v>
      </c>
      <c r="I504" s="193">
        <f t="shared" si="332"/>
        <v>3.0765996937313547E-2</v>
      </c>
      <c r="J504" s="193">
        <f t="shared" si="332"/>
        <v>2.7308147137442573E-2</v>
      </c>
      <c r="K504" s="193">
        <f t="shared" si="332"/>
        <v>3.1563962275745309E-2</v>
      </c>
      <c r="L504" s="193">
        <f t="shared" si="332"/>
        <v>2.2077041029945458E-2</v>
      </c>
      <c r="M504" s="193">
        <f t="shared" si="332"/>
        <v>1.3672215344791615E-2</v>
      </c>
      <c r="N504" s="193">
        <f t="shared" si="332"/>
        <v>1.192344361464385E-2</v>
      </c>
    </row>
    <row r="506" spans="1:19" x14ac:dyDescent="0.35">
      <c r="A506" s="191" t="s">
        <v>193</v>
      </c>
      <c r="C506" s="172">
        <f t="shared" ref="C506:O506" si="333">SUM(C507:C510)</f>
        <v>10075000</v>
      </c>
      <c r="D506" s="172">
        <f t="shared" si="333"/>
        <v>11343800</v>
      </c>
      <c r="E506" s="172">
        <f t="shared" si="333"/>
        <v>21808800</v>
      </c>
      <c r="F506" s="172">
        <f t="shared" si="333"/>
        <v>6206200</v>
      </c>
      <c r="G506" s="172">
        <f t="shared" si="333"/>
        <v>7072000</v>
      </c>
      <c r="H506" s="172">
        <f t="shared" si="333"/>
        <v>6975800</v>
      </c>
      <c r="I506" s="172">
        <f t="shared" si="333"/>
        <v>6689800</v>
      </c>
      <c r="J506" s="172">
        <f t="shared" si="333"/>
        <v>7316400</v>
      </c>
      <c r="K506" s="172">
        <f t="shared" si="333"/>
        <v>7620600</v>
      </c>
      <c r="L506" s="172">
        <f t="shared" si="333"/>
        <v>7079800</v>
      </c>
      <c r="M506" s="172">
        <f t="shared" si="333"/>
        <v>5966200</v>
      </c>
      <c r="N506" s="172">
        <f t="shared" si="333"/>
        <v>3910792.0318470625</v>
      </c>
      <c r="O506" s="172">
        <f t="shared" si="333"/>
        <v>102065192.03184704</v>
      </c>
      <c r="Q506" s="172">
        <f>+O506*13%+O506</f>
        <v>115333666.99598716</v>
      </c>
      <c r="S506" s="376"/>
    </row>
    <row r="507" spans="1:19" x14ac:dyDescent="0.35">
      <c r="A507" s="192" t="s">
        <v>194</v>
      </c>
      <c r="C507" s="175">
        <v>6731400</v>
      </c>
      <c r="D507" s="175">
        <v>7495800</v>
      </c>
      <c r="E507" s="175">
        <v>15438800</v>
      </c>
      <c r="F507" s="175">
        <v>3434600</v>
      </c>
      <c r="G507" s="175">
        <v>3707600</v>
      </c>
      <c r="H507" s="175">
        <v>3783000</v>
      </c>
      <c r="I507" s="175">
        <v>3590600</v>
      </c>
      <c r="J507" s="175">
        <v>3806400</v>
      </c>
      <c r="K507" s="175">
        <v>4027400</v>
      </c>
      <c r="L507" s="175">
        <v>3590600</v>
      </c>
      <c r="M507" s="195">
        <f>2966600+150000</f>
        <v>3116600</v>
      </c>
      <c r="N507" s="195">
        <v>1841547.7481667919</v>
      </c>
      <c r="O507" s="47">
        <f>SUM(C507:N507)</f>
        <v>60564347.748166792</v>
      </c>
      <c r="P507" s="183">
        <f>+O507/O506</f>
        <v>0.59338885806700004</v>
      </c>
      <c r="Q507" s="172">
        <f>+O507*13%+O507</f>
        <v>68437712.955428481</v>
      </c>
      <c r="S507" s="376"/>
    </row>
    <row r="508" spans="1:19" x14ac:dyDescent="0.35">
      <c r="A508" s="192" t="s">
        <v>195</v>
      </c>
      <c r="C508" s="175">
        <v>3010800</v>
      </c>
      <c r="D508" s="175">
        <v>3364400</v>
      </c>
      <c r="E508" s="175">
        <v>5621200</v>
      </c>
      <c r="F508" s="175">
        <v>2407600</v>
      </c>
      <c r="G508" s="175">
        <v>3010800</v>
      </c>
      <c r="H508" s="175">
        <v>2891200</v>
      </c>
      <c r="I508" s="175">
        <v>2714400</v>
      </c>
      <c r="J508" s="175">
        <v>3187600</v>
      </c>
      <c r="K508" s="175">
        <v>3218800</v>
      </c>
      <c r="L508" s="175">
        <v>3250000</v>
      </c>
      <c r="M508" s="195">
        <v>2610400</v>
      </c>
      <c r="N508" s="195">
        <v>1835517.8942364631</v>
      </c>
      <c r="O508" s="47">
        <f t="shared" ref="O508:O510" si="334">SUM(C508:N508)</f>
        <v>37122717.89423646</v>
      </c>
      <c r="P508" s="183">
        <f>+O508/O506</f>
        <v>0.36371575024963643</v>
      </c>
      <c r="Q508" s="172">
        <f>+O508*13%+O508</f>
        <v>41948671.2204872</v>
      </c>
      <c r="S508" s="376"/>
    </row>
    <row r="509" spans="1:19" x14ac:dyDescent="0.35">
      <c r="A509" s="192" t="s">
        <v>196</v>
      </c>
      <c r="C509" s="175">
        <v>15600</v>
      </c>
      <c r="D509" s="175">
        <v>15600</v>
      </c>
      <c r="E509" s="175">
        <v>52000</v>
      </c>
      <c r="F509" s="175">
        <v>15600</v>
      </c>
      <c r="G509" s="175">
        <v>20800</v>
      </c>
      <c r="H509" s="175">
        <v>10400</v>
      </c>
      <c r="I509" s="175">
        <v>5200</v>
      </c>
      <c r="J509" s="175">
        <v>20800</v>
      </c>
      <c r="K509" s="175">
        <v>15600</v>
      </c>
      <c r="L509" s="175">
        <v>20800</v>
      </c>
      <c r="M509" s="195">
        <v>20800</v>
      </c>
      <c r="N509" s="195">
        <v>1361.8961841338887</v>
      </c>
      <c r="O509" s="47">
        <f t="shared" si="334"/>
        <v>214561.89618413389</v>
      </c>
      <c r="P509" s="183">
        <f>+O509/O506</f>
        <v>2.102204403996858E-3</v>
      </c>
      <c r="Q509" s="172">
        <f>+O509*13%+O509</f>
        <v>242454.94268807129</v>
      </c>
      <c r="S509" s="376"/>
    </row>
    <row r="510" spans="1:19" x14ac:dyDescent="0.35">
      <c r="A510" s="192" t="s">
        <v>197</v>
      </c>
      <c r="C510" s="175">
        <v>317200</v>
      </c>
      <c r="D510" s="175">
        <v>468000</v>
      </c>
      <c r="E510" s="175">
        <v>696800</v>
      </c>
      <c r="F510" s="175">
        <v>348400</v>
      </c>
      <c r="G510" s="175">
        <v>332800</v>
      </c>
      <c r="H510" s="175">
        <v>291200</v>
      </c>
      <c r="I510" s="175">
        <v>379600</v>
      </c>
      <c r="J510" s="175">
        <v>301600</v>
      </c>
      <c r="K510" s="175">
        <v>358800</v>
      </c>
      <c r="L510" s="175">
        <v>218400</v>
      </c>
      <c r="M510" s="195">
        <v>218400</v>
      </c>
      <c r="N510" s="195">
        <v>232364.4932596733</v>
      </c>
      <c r="O510" s="47">
        <f t="shared" si="334"/>
        <v>4163564.4932596735</v>
      </c>
      <c r="P510" s="183">
        <f>+O510/O506</f>
        <v>4.0793187279366809E-2</v>
      </c>
      <c r="Q510" s="172">
        <f>+O510*13%+O510</f>
        <v>4704827.8773834314</v>
      </c>
    </row>
    <row r="512" spans="1:19" x14ac:dyDescent="0.35">
      <c r="C512" s="194">
        <f>+C506/$O$506</f>
        <v>9.8711419627333208E-2</v>
      </c>
      <c r="D512" s="194">
        <f t="shared" ref="D512:N512" si="335">+D506/$O$506</f>
        <v>0.11114269002169157</v>
      </c>
      <c r="E512" s="194">
        <f t="shared" si="335"/>
        <v>0.21367519686040543</v>
      </c>
      <c r="F512" s="194">
        <f t="shared" si="335"/>
        <v>6.0806234490437261E-2</v>
      </c>
      <c r="G512" s="194">
        <f t="shared" si="335"/>
        <v>6.928904809970228E-2</v>
      </c>
      <c r="H512" s="194">
        <f t="shared" si="335"/>
        <v>6.8346513254228386E-2</v>
      </c>
      <c r="I512" s="194">
        <f t="shared" si="335"/>
        <v>6.5544382632549261E-2</v>
      </c>
      <c r="J512" s="194">
        <f t="shared" si="335"/>
        <v>7.1683596085500817E-2</v>
      </c>
      <c r="K512" s="194">
        <f t="shared" si="335"/>
        <v>7.466404411037772E-2</v>
      </c>
      <c r="L512" s="194">
        <f t="shared" si="335"/>
        <v>6.9365469843929897E-2</v>
      </c>
      <c r="M512" s="194">
        <f t="shared" si="335"/>
        <v>5.8454796206510715E-2</v>
      </c>
      <c r="N512" s="194">
        <f t="shared" si="335"/>
        <v>3.8316608767333643E-2</v>
      </c>
    </row>
    <row r="513" spans="1:19" x14ac:dyDescent="0.35">
      <c r="C513" s="193">
        <f>+C507/$O$507</f>
        <v>0.11114459661961358</v>
      </c>
      <c r="D513" s="193">
        <f t="shared" ref="D513:N513" si="336">+D507/$O$507</f>
        <v>0.12376588337363691</v>
      </c>
      <c r="E513" s="193">
        <f t="shared" si="336"/>
        <v>0.25491564879384526</v>
      </c>
      <c r="F513" s="193">
        <f t="shared" si="336"/>
        <v>5.6709931299540182E-2</v>
      </c>
      <c r="G513" s="193">
        <f t="shared" si="336"/>
        <v>6.121753371169137E-2</v>
      </c>
      <c r="H513" s="193">
        <f t="shared" si="336"/>
        <v>6.2462490568380748E-2</v>
      </c>
      <c r="I513" s="193">
        <f t="shared" si="336"/>
        <v>5.9285704106483719E-2</v>
      </c>
      <c r="J513" s="193">
        <f t="shared" si="336"/>
        <v>6.2848856489422275E-2</v>
      </c>
      <c r="K513" s="193">
        <f t="shared" si="336"/>
        <v>6.6497867965925619E-2</v>
      </c>
      <c r="L513" s="193">
        <f t="shared" si="336"/>
        <v>5.9285704106483719E-2</v>
      </c>
      <c r="M513" s="193">
        <f t="shared" si="336"/>
        <v>5.1459317500770665E-2</v>
      </c>
      <c r="N513" s="193">
        <f t="shared" si="336"/>
        <v>3.0406465464205931E-2</v>
      </c>
    </row>
    <row r="514" spans="1:19" x14ac:dyDescent="0.35">
      <c r="C514" s="193">
        <f>+C508/$O$508</f>
        <v>8.1103975430296987E-2</v>
      </c>
      <c r="D514" s="193">
        <f t="shared" ref="D514:N514" si="337">+D508/$O$508</f>
        <v>9.0629140074960535E-2</v>
      </c>
      <c r="E514" s="193">
        <f t="shared" si="337"/>
        <v>0.15142210266001907</v>
      </c>
      <c r="F514" s="193">
        <f t="shared" si="337"/>
        <v>6.485516515410622E-2</v>
      </c>
      <c r="G514" s="193">
        <f t="shared" si="337"/>
        <v>8.1103975430296987E-2</v>
      </c>
      <c r="H514" s="193">
        <f t="shared" si="337"/>
        <v>7.7882228565190198E-2</v>
      </c>
      <c r="I514" s="193">
        <f t="shared" si="337"/>
        <v>7.3119646242858424E-2</v>
      </c>
      <c r="J514" s="193">
        <f t="shared" si="337"/>
        <v>8.5866557752628761E-2</v>
      </c>
      <c r="K514" s="193">
        <f t="shared" si="337"/>
        <v>8.6707013456569657E-2</v>
      </c>
      <c r="L514" s="193">
        <f t="shared" si="337"/>
        <v>8.7547469160510566E-2</v>
      </c>
      <c r="M514" s="193">
        <f t="shared" si="337"/>
        <v>7.0318127229722083E-2</v>
      </c>
      <c r="N514" s="193">
        <f t="shared" si="337"/>
        <v>4.944459884284063E-2</v>
      </c>
    </row>
    <row r="515" spans="1:19" x14ac:dyDescent="0.35">
      <c r="C515" s="193">
        <f>+C509/$O$509</f>
        <v>7.2706292577747855E-2</v>
      </c>
      <c r="D515" s="193">
        <f t="shared" ref="D515:N515" si="338">+D509/$O$509</f>
        <v>7.2706292577747855E-2</v>
      </c>
      <c r="E515" s="193">
        <f t="shared" si="338"/>
        <v>0.24235430859249285</v>
      </c>
      <c r="F515" s="193">
        <f t="shared" si="338"/>
        <v>7.2706292577747855E-2</v>
      </c>
      <c r="G515" s="193">
        <f t="shared" si="338"/>
        <v>9.694172343699714E-2</v>
      </c>
      <c r="H515" s="193">
        <f t="shared" si="338"/>
        <v>4.847086171849857E-2</v>
      </c>
      <c r="I515" s="193">
        <f t="shared" si="338"/>
        <v>2.4235430859249285E-2</v>
      </c>
      <c r="J515" s="193">
        <f t="shared" si="338"/>
        <v>9.694172343699714E-2</v>
      </c>
      <c r="K515" s="193">
        <f t="shared" si="338"/>
        <v>7.2706292577747855E-2</v>
      </c>
      <c r="L515" s="193">
        <f t="shared" si="338"/>
        <v>9.694172343699714E-2</v>
      </c>
      <c r="M515" s="193">
        <f t="shared" si="338"/>
        <v>9.694172343699714E-2</v>
      </c>
      <c r="N515" s="193">
        <f t="shared" si="338"/>
        <v>6.3473347707792872E-3</v>
      </c>
    </row>
    <row r="516" spans="1:19" x14ac:dyDescent="0.35">
      <c r="C516" s="193">
        <f>+C510/$O$510</f>
        <v>7.618472117184924E-2</v>
      </c>
      <c r="D516" s="193">
        <f t="shared" ref="D516:N516" si="339">+D510/$O$510</f>
        <v>0.11240368697485953</v>
      </c>
      <c r="E516" s="193">
        <f t="shared" si="339"/>
        <v>0.16735660060701307</v>
      </c>
      <c r="F516" s="193">
        <f t="shared" si="339"/>
        <v>8.3678300303506536E-2</v>
      </c>
      <c r="G516" s="193">
        <f t="shared" si="339"/>
        <v>7.9931510737677888E-2</v>
      </c>
      <c r="H516" s="193">
        <f t="shared" si="339"/>
        <v>6.9940071895468151E-2</v>
      </c>
      <c r="I516" s="193">
        <f t="shared" si="339"/>
        <v>9.1171879435163847E-2</v>
      </c>
      <c r="J516" s="193">
        <f t="shared" si="339"/>
        <v>7.2437931606020592E-2</v>
      </c>
      <c r="K516" s="193">
        <f t="shared" si="339"/>
        <v>8.6176160014058978E-2</v>
      </c>
      <c r="L516" s="193">
        <f t="shared" si="339"/>
        <v>5.2455053921601116E-2</v>
      </c>
      <c r="M516" s="193">
        <f t="shared" si="339"/>
        <v>5.2455053921601116E-2</v>
      </c>
      <c r="N516" s="193">
        <f t="shared" si="339"/>
        <v>5.5809029411179864E-2</v>
      </c>
    </row>
    <row r="518" spans="1:19" x14ac:dyDescent="0.35">
      <c r="A518" s="191" t="s">
        <v>198</v>
      </c>
      <c r="C518" s="197">
        <v>4400</v>
      </c>
      <c r="D518" s="197">
        <v>0</v>
      </c>
      <c r="E518" s="197">
        <v>0</v>
      </c>
      <c r="F518" s="197">
        <v>0</v>
      </c>
      <c r="G518" s="197">
        <v>0</v>
      </c>
      <c r="H518" s="197">
        <v>4400</v>
      </c>
      <c r="I518" s="197">
        <v>0</v>
      </c>
      <c r="J518" s="197">
        <v>0</v>
      </c>
      <c r="K518" s="197">
        <v>4400</v>
      </c>
      <c r="L518" s="197">
        <v>0</v>
      </c>
      <c r="M518" s="197">
        <v>0</v>
      </c>
      <c r="N518" s="197">
        <v>4400</v>
      </c>
      <c r="O518" s="47">
        <f t="shared" ref="O518" si="340">SUM(C518:N518)</f>
        <v>17600</v>
      </c>
      <c r="Q518" s="172">
        <f>+O518*11%+O518</f>
        <v>19536</v>
      </c>
    </row>
    <row r="519" spans="1:19" x14ac:dyDescent="0.35">
      <c r="A519" s="191"/>
      <c r="C519" s="302"/>
      <c r="D519" s="302"/>
      <c r="E519" s="302"/>
      <c r="F519" s="302"/>
      <c r="G519" s="302"/>
      <c r="H519" s="302"/>
      <c r="I519" s="302"/>
      <c r="J519" s="302"/>
      <c r="K519" s="302"/>
      <c r="L519" s="302"/>
      <c r="M519" s="302"/>
      <c r="N519" s="302"/>
      <c r="O519" s="303"/>
      <c r="Q519" s="178"/>
    </row>
    <row r="520" spans="1:19" x14ac:dyDescent="0.35">
      <c r="A520" s="191"/>
      <c r="C520" s="304">
        <f>+C518/$O$518</f>
        <v>0.25</v>
      </c>
      <c r="D520" s="304">
        <f t="shared" ref="D520:N520" si="341">+D518/$O$518</f>
        <v>0</v>
      </c>
      <c r="E520" s="304">
        <f t="shared" si="341"/>
        <v>0</v>
      </c>
      <c r="F520" s="304">
        <f t="shared" si="341"/>
        <v>0</v>
      </c>
      <c r="G520" s="304">
        <f t="shared" si="341"/>
        <v>0</v>
      </c>
      <c r="H520" s="304">
        <f t="shared" si="341"/>
        <v>0.25</v>
      </c>
      <c r="I520" s="304">
        <f t="shared" si="341"/>
        <v>0</v>
      </c>
      <c r="J520" s="304">
        <f t="shared" si="341"/>
        <v>0</v>
      </c>
      <c r="K520" s="304">
        <f t="shared" si="341"/>
        <v>0.25</v>
      </c>
      <c r="L520" s="304">
        <f t="shared" si="341"/>
        <v>0</v>
      </c>
      <c r="M520" s="304">
        <f t="shared" si="341"/>
        <v>0</v>
      </c>
      <c r="N520" s="304">
        <f t="shared" si="341"/>
        <v>0.25</v>
      </c>
      <c r="O520" s="303"/>
      <c r="Q520" s="178"/>
    </row>
    <row r="522" spans="1:19" x14ac:dyDescent="0.35">
      <c r="A522" s="191" t="s">
        <v>200</v>
      </c>
      <c r="C522" s="172">
        <f t="shared" ref="C522:O522" si="342">SUM(C523:C526)</f>
        <v>1100000</v>
      </c>
      <c r="D522" s="172">
        <f t="shared" si="342"/>
        <v>2456000</v>
      </c>
      <c r="E522" s="172">
        <f t="shared" si="342"/>
        <v>4401000</v>
      </c>
      <c r="F522" s="172">
        <f t="shared" si="342"/>
        <v>31710000</v>
      </c>
      <c r="G522" s="172">
        <f t="shared" si="342"/>
        <v>3644000</v>
      </c>
      <c r="H522" s="172">
        <f t="shared" si="342"/>
        <v>2174000</v>
      </c>
      <c r="I522" s="172">
        <f t="shared" si="342"/>
        <v>3917000</v>
      </c>
      <c r="J522" s="172">
        <f t="shared" si="342"/>
        <v>3248000</v>
      </c>
      <c r="K522" s="172">
        <f t="shared" si="342"/>
        <v>2922000</v>
      </c>
      <c r="L522" s="172">
        <f t="shared" si="342"/>
        <v>2623000</v>
      </c>
      <c r="M522" s="172">
        <f t="shared" si="342"/>
        <v>2558967.7810133956</v>
      </c>
      <c r="N522" s="172">
        <f t="shared" si="342"/>
        <v>1857755.4913171954</v>
      </c>
      <c r="O522" s="172">
        <f t="shared" si="342"/>
        <v>62611723.27233059</v>
      </c>
      <c r="Q522" s="172">
        <f>+O522*2%+O522</f>
        <v>63863957.737777203</v>
      </c>
    </row>
    <row r="523" spans="1:19" x14ac:dyDescent="0.35">
      <c r="A523" s="192" t="s">
        <v>201</v>
      </c>
      <c r="C523" s="175">
        <v>0</v>
      </c>
      <c r="D523" s="175">
        <v>986000</v>
      </c>
      <c r="E523" s="175">
        <v>493000</v>
      </c>
      <c r="F523" s="175">
        <v>2465000</v>
      </c>
      <c r="G523" s="175">
        <v>1972000</v>
      </c>
      <c r="H523" s="175">
        <v>986000</v>
      </c>
      <c r="I523" s="175">
        <v>2465000</v>
      </c>
      <c r="J523" s="175">
        <v>1972000</v>
      </c>
      <c r="K523" s="175">
        <v>1479000</v>
      </c>
      <c r="L523" s="175">
        <v>1479000</v>
      </c>
      <c r="M523" s="195">
        <v>1572000</v>
      </c>
      <c r="N523" s="195">
        <v>870787.71030379995</v>
      </c>
      <c r="O523" s="195">
        <f>SUM(C523:N523)</f>
        <v>16739787.7103038</v>
      </c>
      <c r="P523" s="184">
        <f>+O523/O522</f>
        <v>0.2673586803783351</v>
      </c>
      <c r="Q523" s="172">
        <f>+O523*2%+O523</f>
        <v>17074583.464509875</v>
      </c>
      <c r="S523" s="376"/>
    </row>
    <row r="524" spans="1:19" x14ac:dyDescent="0.35">
      <c r="A524" s="192" t="s">
        <v>202</v>
      </c>
      <c r="C524" s="175">
        <v>0</v>
      </c>
      <c r="D524" s="175">
        <v>986000</v>
      </c>
      <c r="E524" s="175">
        <v>1972000</v>
      </c>
      <c r="F524" s="175">
        <v>28101000</v>
      </c>
      <c r="G524" s="175">
        <v>0</v>
      </c>
      <c r="H524" s="175">
        <v>0</v>
      </c>
      <c r="I524" s="175">
        <v>0</v>
      </c>
      <c r="J524" s="175">
        <v>0</v>
      </c>
      <c r="K524" s="175">
        <v>-493000</v>
      </c>
      <c r="L524" s="175">
        <v>0</v>
      </c>
      <c r="M524" s="195">
        <v>0</v>
      </c>
      <c r="N524" s="195">
        <v>0</v>
      </c>
      <c r="O524" s="195">
        <f t="shared" ref="O524:O526" si="343">SUM(C524:N524)</f>
        <v>30566000</v>
      </c>
      <c r="P524" s="184">
        <f>+O524/O522</f>
        <v>0.48818333696155819</v>
      </c>
      <c r="Q524" s="172">
        <f t="shared" ref="Q524:Q526" si="344">+O524*2%+O524</f>
        <v>31177320</v>
      </c>
      <c r="S524" s="376"/>
    </row>
    <row r="525" spans="1:19" x14ac:dyDescent="0.35">
      <c r="A525" s="192" t="s">
        <v>203</v>
      </c>
      <c r="C525" s="175">
        <v>264000</v>
      </c>
      <c r="D525" s="175">
        <v>0</v>
      </c>
      <c r="E525" s="175">
        <v>264000</v>
      </c>
      <c r="F525" s="175">
        <v>264000</v>
      </c>
      <c r="G525" s="175">
        <v>528000</v>
      </c>
      <c r="H525" s="175">
        <v>0</v>
      </c>
      <c r="I525" s="175">
        <v>528000</v>
      </c>
      <c r="J525" s="175">
        <v>264000</v>
      </c>
      <c r="K525" s="175">
        <v>792000</v>
      </c>
      <c r="L525" s="175">
        <v>264000</v>
      </c>
      <c r="M525" s="195">
        <v>0</v>
      </c>
      <c r="N525" s="195">
        <v>0</v>
      </c>
      <c r="O525" s="195">
        <f t="shared" si="343"/>
        <v>3168000</v>
      </c>
      <c r="P525" s="184">
        <f>+O525/O522</f>
        <v>5.0597553212530802E-2</v>
      </c>
      <c r="Q525" s="172">
        <f t="shared" si="344"/>
        <v>3231360</v>
      </c>
      <c r="S525" s="376"/>
    </row>
    <row r="526" spans="1:19" x14ac:dyDescent="0.35">
      <c r="A526" s="192" t="s">
        <v>204</v>
      </c>
      <c r="C526" s="175">
        <v>836000</v>
      </c>
      <c r="D526" s="175">
        <v>484000</v>
      </c>
      <c r="E526" s="175">
        <v>1672000</v>
      </c>
      <c r="F526" s="175">
        <v>880000</v>
      </c>
      <c r="G526" s="175">
        <v>1144000</v>
      </c>
      <c r="H526" s="175">
        <v>1188000</v>
      </c>
      <c r="I526" s="175">
        <v>924000</v>
      </c>
      <c r="J526" s="175">
        <v>1012000</v>
      </c>
      <c r="K526" s="175">
        <v>1144000</v>
      </c>
      <c r="L526" s="175">
        <v>880000</v>
      </c>
      <c r="M526" s="195">
        <v>986967.78101339552</v>
      </c>
      <c r="N526" s="195">
        <v>986967.78101339552</v>
      </c>
      <c r="O526" s="195">
        <f t="shared" si="343"/>
        <v>12137935.562026791</v>
      </c>
      <c r="P526" s="184">
        <f>+O526/O522</f>
        <v>0.19386042944757592</v>
      </c>
      <c r="Q526" s="172">
        <f t="shared" si="344"/>
        <v>12380694.273267327</v>
      </c>
      <c r="S526" s="376"/>
    </row>
    <row r="528" spans="1:19" x14ac:dyDescent="0.35">
      <c r="C528" s="193">
        <f>+C523/$O$523</f>
        <v>0</v>
      </c>
      <c r="D528" s="193">
        <f t="shared" ref="D528:N528" si="345">+D523/$O$523</f>
        <v>5.8901583285497092E-2</v>
      </c>
      <c r="E528" s="193">
        <f t="shared" si="345"/>
        <v>2.9450791642748546E-2</v>
      </c>
      <c r="F528" s="193">
        <f t="shared" si="345"/>
        <v>0.14725395821374274</v>
      </c>
      <c r="G528" s="193">
        <f t="shared" si="345"/>
        <v>0.11780316657099418</v>
      </c>
      <c r="H528" s="193">
        <f t="shared" si="345"/>
        <v>5.8901583285497092E-2</v>
      </c>
      <c r="I528" s="193">
        <f t="shared" si="345"/>
        <v>0.14725395821374274</v>
      </c>
      <c r="J528" s="193">
        <f t="shared" si="345"/>
        <v>0.11780316657099418</v>
      </c>
      <c r="K528" s="193">
        <f t="shared" si="345"/>
        <v>8.8352374928245644E-2</v>
      </c>
      <c r="L528" s="193">
        <f t="shared" si="345"/>
        <v>8.8352374928245644E-2</v>
      </c>
      <c r="M528" s="193">
        <f t="shared" si="345"/>
        <v>9.3908000937932487E-2</v>
      </c>
      <c r="N528" s="193">
        <f t="shared" si="345"/>
        <v>5.2019041422359621E-2</v>
      </c>
    </row>
    <row r="529" spans="1:17" x14ac:dyDescent="0.35">
      <c r="C529" s="193">
        <f>+C524/$O$524</f>
        <v>0</v>
      </c>
      <c r="D529" s="193">
        <f t="shared" ref="D529:N529" si="346">+D524/$O$524</f>
        <v>3.2258064516129031E-2</v>
      </c>
      <c r="E529" s="193">
        <f t="shared" si="346"/>
        <v>6.4516129032258063E-2</v>
      </c>
      <c r="F529" s="193">
        <f t="shared" si="346"/>
        <v>0.91935483870967738</v>
      </c>
      <c r="G529" s="193">
        <f t="shared" si="346"/>
        <v>0</v>
      </c>
      <c r="H529" s="193">
        <f t="shared" si="346"/>
        <v>0</v>
      </c>
      <c r="I529" s="193">
        <f t="shared" si="346"/>
        <v>0</v>
      </c>
      <c r="J529" s="193">
        <f t="shared" si="346"/>
        <v>0</v>
      </c>
      <c r="K529" s="193">
        <f t="shared" si="346"/>
        <v>-1.6129032258064516E-2</v>
      </c>
      <c r="L529" s="193">
        <f t="shared" si="346"/>
        <v>0</v>
      </c>
      <c r="M529" s="193">
        <f t="shared" si="346"/>
        <v>0</v>
      </c>
      <c r="N529" s="193">
        <f t="shared" si="346"/>
        <v>0</v>
      </c>
    </row>
    <row r="530" spans="1:17" x14ac:dyDescent="0.35">
      <c r="C530" s="193">
        <f>+C525/$O$525</f>
        <v>8.3333333333333329E-2</v>
      </c>
      <c r="D530" s="193">
        <f t="shared" ref="D530:N530" si="347">+D525/$O$525</f>
        <v>0</v>
      </c>
      <c r="E530" s="193">
        <f t="shared" si="347"/>
        <v>8.3333333333333329E-2</v>
      </c>
      <c r="F530" s="193">
        <f t="shared" si="347"/>
        <v>8.3333333333333329E-2</v>
      </c>
      <c r="G530" s="193">
        <f t="shared" si="347"/>
        <v>0.16666666666666666</v>
      </c>
      <c r="H530" s="193">
        <f t="shared" si="347"/>
        <v>0</v>
      </c>
      <c r="I530" s="193">
        <f t="shared" si="347"/>
        <v>0.16666666666666666</v>
      </c>
      <c r="J530" s="193">
        <f t="shared" si="347"/>
        <v>8.3333333333333329E-2</v>
      </c>
      <c r="K530" s="193">
        <f t="shared" si="347"/>
        <v>0.25</v>
      </c>
      <c r="L530" s="193">
        <f t="shared" si="347"/>
        <v>8.3333333333333329E-2</v>
      </c>
      <c r="M530" s="193">
        <f t="shared" si="347"/>
        <v>0</v>
      </c>
      <c r="N530" s="193">
        <f t="shared" si="347"/>
        <v>0</v>
      </c>
    </row>
    <row r="531" spans="1:17" x14ac:dyDescent="0.35">
      <c r="C531" s="193">
        <f>+C526/$O$526</f>
        <v>6.887497430909123E-2</v>
      </c>
      <c r="D531" s="193">
        <f t="shared" ref="D531:N531" si="348">+D526/$O$526</f>
        <v>3.9874985126315973E-2</v>
      </c>
      <c r="E531" s="193">
        <f t="shared" si="348"/>
        <v>0.13774994861818246</v>
      </c>
      <c r="F531" s="193">
        <f t="shared" si="348"/>
        <v>7.2499972956938136E-2</v>
      </c>
      <c r="G531" s="193">
        <f t="shared" si="348"/>
        <v>9.4249964844019568E-2</v>
      </c>
      <c r="H531" s="193">
        <f t="shared" si="348"/>
        <v>9.7874963491866473E-2</v>
      </c>
      <c r="I531" s="193">
        <f t="shared" si="348"/>
        <v>7.6124971604785041E-2</v>
      </c>
      <c r="J531" s="193">
        <f t="shared" si="348"/>
        <v>8.3374968900478852E-2</v>
      </c>
      <c r="K531" s="193">
        <f t="shared" si="348"/>
        <v>9.4249964844019568E-2</v>
      </c>
      <c r="L531" s="193">
        <f t="shared" si="348"/>
        <v>7.2499972956938136E-2</v>
      </c>
      <c r="M531" s="193">
        <f t="shared" si="348"/>
        <v>8.1312656173682288E-2</v>
      </c>
      <c r="N531" s="193">
        <f t="shared" si="348"/>
        <v>8.1312656173682288E-2</v>
      </c>
    </row>
    <row r="533" spans="1:17" x14ac:dyDescent="0.35">
      <c r="A533" s="191" t="s">
        <v>205</v>
      </c>
      <c r="C533" s="172">
        <f t="shared" ref="C533" si="349">SUM(C534:C537)</f>
        <v>5505100</v>
      </c>
      <c r="D533" s="172">
        <f t="shared" ref="D533:O533" si="350">SUM(D534:D537)</f>
        <v>10431100</v>
      </c>
      <c r="E533" s="172">
        <f t="shared" si="350"/>
        <v>122045800</v>
      </c>
      <c r="F533" s="172">
        <f t="shared" si="350"/>
        <v>6820500</v>
      </c>
      <c r="G533" s="172">
        <f t="shared" si="350"/>
        <v>6190000</v>
      </c>
      <c r="H533" s="172">
        <f t="shared" si="350"/>
        <v>5439400</v>
      </c>
      <c r="I533" s="172">
        <f t="shared" si="350"/>
        <v>5054800</v>
      </c>
      <c r="J533" s="172">
        <f t="shared" si="350"/>
        <v>5060900</v>
      </c>
      <c r="K533" s="172">
        <f t="shared" si="350"/>
        <v>7046600</v>
      </c>
      <c r="L533" s="172">
        <f t="shared" si="350"/>
        <v>3131200</v>
      </c>
      <c r="M533" s="172">
        <f t="shared" si="350"/>
        <v>3131200</v>
      </c>
      <c r="N533" s="172">
        <f t="shared" si="350"/>
        <v>3131200</v>
      </c>
      <c r="O533" s="172">
        <f t="shared" si="350"/>
        <v>182987800</v>
      </c>
      <c r="Q533" s="172">
        <f>+O533*11%+O533</f>
        <v>203116458</v>
      </c>
    </row>
    <row r="534" spans="1:17" x14ac:dyDescent="0.35">
      <c r="A534" s="192" t="s">
        <v>206</v>
      </c>
      <c r="C534" s="175">
        <v>0</v>
      </c>
      <c r="D534" s="175">
        <v>39000</v>
      </c>
      <c r="E534" s="175">
        <v>0</v>
      </c>
      <c r="F534" s="175">
        <v>0</v>
      </c>
      <c r="G534" s="175">
        <v>0</v>
      </c>
      <c r="H534" s="175">
        <v>0</v>
      </c>
      <c r="I534" s="175">
        <v>0</v>
      </c>
      <c r="J534" s="175">
        <v>39000</v>
      </c>
      <c r="K534" s="175">
        <v>0</v>
      </c>
      <c r="L534" s="175">
        <v>0</v>
      </c>
      <c r="M534" s="175">
        <v>0</v>
      </c>
      <c r="N534" s="175">
        <v>0</v>
      </c>
      <c r="O534" s="195">
        <f t="shared" ref="O534:O537" si="351">SUM(C534:N534)</f>
        <v>78000</v>
      </c>
      <c r="P534" s="185">
        <f>+O534/O533</f>
        <v>4.2625792539174742E-4</v>
      </c>
      <c r="Q534" s="172">
        <f>+O534*11%+O534</f>
        <v>86580</v>
      </c>
    </row>
    <row r="535" spans="1:17" x14ac:dyDescent="0.35">
      <c r="A535" s="192" t="s">
        <v>207</v>
      </c>
      <c r="C535" s="175">
        <v>1435200</v>
      </c>
      <c r="D535" s="175">
        <v>1586000</v>
      </c>
      <c r="E535" s="175">
        <v>3754400</v>
      </c>
      <c r="F535" s="175">
        <v>1383200</v>
      </c>
      <c r="G535" s="175">
        <v>1544400</v>
      </c>
      <c r="H535" s="175">
        <v>1528800</v>
      </c>
      <c r="I535" s="175">
        <v>1591200</v>
      </c>
      <c r="J535" s="175">
        <v>1565200</v>
      </c>
      <c r="K535" s="175">
        <v>1773200</v>
      </c>
      <c r="L535" s="175">
        <v>1887600</v>
      </c>
      <c r="M535" s="175">
        <v>1887600</v>
      </c>
      <c r="N535" s="175">
        <v>1887600</v>
      </c>
      <c r="O535" s="195">
        <f t="shared" si="351"/>
        <v>21824400</v>
      </c>
      <c r="P535" s="185">
        <f>+O535/O533</f>
        <v>0.11926696752461093</v>
      </c>
      <c r="Q535" s="172">
        <f t="shared" ref="Q535:Q537" si="352">+O535*11%+O535</f>
        <v>24225084</v>
      </c>
    </row>
    <row r="536" spans="1:17" x14ac:dyDescent="0.35">
      <c r="A536" s="192" t="s">
        <v>208</v>
      </c>
      <c r="C536" s="175">
        <v>645900</v>
      </c>
      <c r="D536" s="175">
        <v>842100</v>
      </c>
      <c r="E536" s="175">
        <v>2715400</v>
      </c>
      <c r="F536" s="175">
        <v>2010300</v>
      </c>
      <c r="G536" s="175">
        <v>1585600</v>
      </c>
      <c r="H536" s="175">
        <v>1346600</v>
      </c>
      <c r="I536" s="175">
        <v>1493600</v>
      </c>
      <c r="J536" s="175">
        <v>1176700</v>
      </c>
      <c r="K536" s="175">
        <v>1506400</v>
      </c>
      <c r="L536" s="175">
        <v>766600</v>
      </c>
      <c r="M536" s="175">
        <v>766600</v>
      </c>
      <c r="N536" s="175">
        <v>766600</v>
      </c>
      <c r="O536" s="195">
        <f t="shared" si="351"/>
        <v>15622400</v>
      </c>
      <c r="P536" s="185">
        <f>+O536/O533</f>
        <v>8.5373997610769678E-2</v>
      </c>
      <c r="Q536" s="172">
        <f t="shared" si="352"/>
        <v>17340864</v>
      </c>
    </row>
    <row r="537" spans="1:17" x14ac:dyDescent="0.35">
      <c r="A537" s="192" t="s">
        <v>266</v>
      </c>
      <c r="C537" s="175">
        <v>3424000</v>
      </c>
      <c r="D537" s="175">
        <v>7964000</v>
      </c>
      <c r="E537" s="175">
        <v>115576000</v>
      </c>
      <c r="F537" s="175">
        <v>3427000</v>
      </c>
      <c r="G537" s="175">
        <v>3060000</v>
      </c>
      <c r="H537" s="175">
        <v>2564000</v>
      </c>
      <c r="I537" s="175">
        <v>1970000</v>
      </c>
      <c r="J537" s="175">
        <v>2280000</v>
      </c>
      <c r="K537" s="175">
        <v>3767000</v>
      </c>
      <c r="L537" s="175">
        <v>477000</v>
      </c>
      <c r="M537" s="175">
        <v>477000</v>
      </c>
      <c r="N537" s="175">
        <v>477000</v>
      </c>
      <c r="O537" s="195">
        <f t="shared" si="351"/>
        <v>145463000</v>
      </c>
      <c r="P537" s="185">
        <f>+O537/O533</f>
        <v>0.79493277693922759</v>
      </c>
      <c r="Q537" s="172">
        <f t="shared" si="352"/>
        <v>161463930</v>
      </c>
    </row>
    <row r="539" spans="1:17" x14ac:dyDescent="0.35">
      <c r="C539" s="184">
        <f t="shared" ref="C539:N539" si="353">+C534/$O$534</f>
        <v>0</v>
      </c>
      <c r="D539" s="184">
        <f t="shared" si="353"/>
        <v>0.5</v>
      </c>
      <c r="E539" s="184">
        <f t="shared" si="353"/>
        <v>0</v>
      </c>
      <c r="F539" s="184">
        <f t="shared" si="353"/>
        <v>0</v>
      </c>
      <c r="G539" s="184">
        <f t="shared" si="353"/>
        <v>0</v>
      </c>
      <c r="H539" s="184">
        <f t="shared" si="353"/>
        <v>0</v>
      </c>
      <c r="I539" s="184">
        <f t="shared" si="353"/>
        <v>0</v>
      </c>
      <c r="J539" s="184">
        <f t="shared" si="353"/>
        <v>0.5</v>
      </c>
      <c r="K539" s="184">
        <f t="shared" si="353"/>
        <v>0</v>
      </c>
      <c r="L539" s="184">
        <f t="shared" si="353"/>
        <v>0</v>
      </c>
      <c r="M539" s="184">
        <f t="shared" si="353"/>
        <v>0</v>
      </c>
      <c r="N539" s="184">
        <f t="shared" si="353"/>
        <v>0</v>
      </c>
      <c r="O539" s="184"/>
    </row>
    <row r="540" spans="1:17" x14ac:dyDescent="0.35">
      <c r="C540" s="184">
        <f t="shared" ref="C540:N540" si="354">+C535/$O$535</f>
        <v>6.5761258041458187E-2</v>
      </c>
      <c r="D540" s="184">
        <f t="shared" si="354"/>
        <v>7.2670955444365026E-2</v>
      </c>
      <c r="E540" s="184">
        <f t="shared" si="354"/>
        <v>0.17202763878961164</v>
      </c>
      <c r="F540" s="184">
        <f t="shared" si="354"/>
        <v>6.3378603764593755E-2</v>
      </c>
      <c r="G540" s="184">
        <f t="shared" si="354"/>
        <v>7.0764832022873481E-2</v>
      </c>
      <c r="H540" s="184">
        <f t="shared" si="354"/>
        <v>7.0050035739814151E-2</v>
      </c>
      <c r="I540" s="184">
        <f t="shared" si="354"/>
        <v>7.290922087205147E-2</v>
      </c>
      <c r="J540" s="184">
        <f t="shared" si="354"/>
        <v>7.1717893733619253E-2</v>
      </c>
      <c r="K540" s="184">
        <f t="shared" si="354"/>
        <v>8.1248510841076954E-2</v>
      </c>
      <c r="L540" s="184">
        <f t="shared" si="354"/>
        <v>8.6490350250178705E-2</v>
      </c>
      <c r="M540" s="184">
        <f t="shared" si="354"/>
        <v>8.6490350250178705E-2</v>
      </c>
      <c r="N540" s="184">
        <f t="shared" si="354"/>
        <v>8.6490350250178705E-2</v>
      </c>
      <c r="O540" s="184"/>
    </row>
    <row r="541" spans="1:17" x14ac:dyDescent="0.35">
      <c r="C541" s="184">
        <f t="shared" ref="C541:N541" si="355">+C536/$O$536</f>
        <v>4.1344479721425645E-2</v>
      </c>
      <c r="D541" s="184">
        <f t="shared" si="355"/>
        <v>5.3903369520688242E-2</v>
      </c>
      <c r="E541" s="184">
        <f t="shared" si="355"/>
        <v>0.17381452273658338</v>
      </c>
      <c r="F541" s="184">
        <f t="shared" si="355"/>
        <v>0.12868061245391232</v>
      </c>
      <c r="G541" s="184">
        <f t="shared" si="355"/>
        <v>0.10149528881605899</v>
      </c>
      <c r="H541" s="184">
        <f t="shared" si="355"/>
        <v>8.6196743138058168E-2</v>
      </c>
      <c r="I541" s="184">
        <f t="shared" si="355"/>
        <v>9.5606308889799263E-2</v>
      </c>
      <c r="J541" s="184">
        <f t="shared" si="355"/>
        <v>7.5321333469889395E-2</v>
      </c>
      <c r="K541" s="184">
        <f t="shared" si="355"/>
        <v>9.6425645227365839E-2</v>
      </c>
      <c r="L541" s="184">
        <f t="shared" si="355"/>
        <v>4.9070565342072922E-2</v>
      </c>
      <c r="M541" s="184">
        <f t="shared" si="355"/>
        <v>4.9070565342072922E-2</v>
      </c>
      <c r="N541" s="184">
        <f t="shared" si="355"/>
        <v>4.9070565342072922E-2</v>
      </c>
      <c r="O541" s="184"/>
    </row>
    <row r="542" spans="1:17" x14ac:dyDescent="0.35">
      <c r="C542" s="184">
        <f t="shared" ref="C542:N542" si="356">+C537/$O$537</f>
        <v>2.3538631817025635E-2</v>
      </c>
      <c r="D542" s="184">
        <f t="shared" si="356"/>
        <v>5.4749317695908926E-2</v>
      </c>
      <c r="E542" s="184">
        <f t="shared" si="356"/>
        <v>0.79453881743123678</v>
      </c>
      <c r="F542" s="184">
        <f t="shared" si="356"/>
        <v>2.3559255618267189E-2</v>
      </c>
      <c r="G542" s="184">
        <f t="shared" si="356"/>
        <v>2.1036277266383893E-2</v>
      </c>
      <c r="H542" s="184">
        <f t="shared" si="356"/>
        <v>1.7626475461113823E-2</v>
      </c>
      <c r="I542" s="184">
        <f t="shared" si="356"/>
        <v>1.3542962815286361E-2</v>
      </c>
      <c r="J542" s="184">
        <f t="shared" si="356"/>
        <v>1.5674088943580154E-2</v>
      </c>
      <c r="K542" s="184">
        <f t="shared" si="356"/>
        <v>2.5896619758976509E-2</v>
      </c>
      <c r="L542" s="184">
        <f t="shared" si="356"/>
        <v>3.2791843974069009E-3</v>
      </c>
      <c r="M542" s="184">
        <f t="shared" si="356"/>
        <v>3.2791843974069009E-3</v>
      </c>
      <c r="N542" s="184">
        <f t="shared" si="356"/>
        <v>3.2791843974069009E-3</v>
      </c>
      <c r="O542" s="184"/>
    </row>
    <row r="544" spans="1:17" x14ac:dyDescent="0.35">
      <c r="A544" s="191" t="s">
        <v>421</v>
      </c>
      <c r="C544" s="197">
        <v>13829</v>
      </c>
      <c r="D544" s="197">
        <v>11091</v>
      </c>
      <c r="E544" s="197">
        <v>41604</v>
      </c>
      <c r="F544" s="197">
        <v>6518992</v>
      </c>
      <c r="G544" s="197">
        <v>3316547</v>
      </c>
      <c r="H544" s="197">
        <v>2644465</v>
      </c>
      <c r="I544" s="197">
        <v>2242345</v>
      </c>
      <c r="J544" s="197">
        <v>1088769</v>
      </c>
      <c r="K544" s="197">
        <v>36485</v>
      </c>
      <c r="L544" s="197">
        <v>8013736</v>
      </c>
      <c r="M544" s="197">
        <v>36485</v>
      </c>
      <c r="N544" s="197">
        <v>36485</v>
      </c>
      <c r="O544" s="195">
        <f t="shared" ref="O544" si="357">SUM(C544:N544)</f>
        <v>24000833</v>
      </c>
      <c r="Q544" s="199">
        <f>+O544*4.2%+O544</f>
        <v>25008867.986000001</v>
      </c>
    </row>
    <row r="546" spans="1:17" x14ac:dyDescent="0.35">
      <c r="C546" s="183">
        <f>+C544/$O$544</f>
        <v>5.7618833479654644E-4</v>
      </c>
      <c r="D546" s="183">
        <f t="shared" ref="D546:N546" si="358">+D544/$O$544</f>
        <v>4.6210896096814639E-4</v>
      </c>
      <c r="E546" s="183">
        <f t="shared" si="358"/>
        <v>1.7334398351923869E-3</v>
      </c>
      <c r="F546" s="183">
        <f t="shared" si="358"/>
        <v>0.27161523935440074</v>
      </c>
      <c r="G546" s="183">
        <f t="shared" si="358"/>
        <v>0.13818466217401704</v>
      </c>
      <c r="H546" s="183">
        <f t="shared" si="358"/>
        <v>0.11018221742553685</v>
      </c>
      <c r="I546" s="183">
        <f t="shared" si="358"/>
        <v>9.3427798943478343E-2</v>
      </c>
      <c r="J546" s="183">
        <f t="shared" si="358"/>
        <v>4.5363800498091043E-2</v>
      </c>
      <c r="K546" s="183">
        <f t="shared" si="358"/>
        <v>1.5201555712670474E-3</v>
      </c>
      <c r="L546" s="183">
        <f t="shared" si="358"/>
        <v>0.33389407775971774</v>
      </c>
      <c r="M546" s="183">
        <f t="shared" si="358"/>
        <v>1.5201555712670474E-3</v>
      </c>
      <c r="N546" s="183">
        <f t="shared" si="358"/>
        <v>1.5201555712670474E-3</v>
      </c>
    </row>
    <row r="550" spans="1:17" x14ac:dyDescent="0.35">
      <c r="A550" s="31" t="s">
        <v>112</v>
      </c>
    </row>
    <row r="551" spans="1:17" x14ac:dyDescent="0.35">
      <c r="A551" s="192" t="s">
        <v>513</v>
      </c>
      <c r="C551" s="195">
        <v>7529283</v>
      </c>
      <c r="D551" s="195">
        <v>5323691</v>
      </c>
      <c r="E551" s="195">
        <v>10369055</v>
      </c>
      <c r="F551" s="195">
        <v>5098425</v>
      </c>
      <c r="G551" s="195">
        <v>4467426</v>
      </c>
      <c r="H551" s="195">
        <v>7132082</v>
      </c>
      <c r="I551" s="195">
        <v>9024603</v>
      </c>
      <c r="J551" s="195">
        <v>6656976</v>
      </c>
      <c r="K551" s="195">
        <v>6176460</v>
      </c>
      <c r="L551" s="195">
        <v>4606470</v>
      </c>
      <c r="M551" s="195">
        <v>274000</v>
      </c>
      <c r="N551" s="195">
        <v>274000</v>
      </c>
      <c r="O551" s="197">
        <f t="shared" ref="O551:O552" si="359">SUM(C551:N551)</f>
        <v>66932471</v>
      </c>
    </row>
    <row r="552" spans="1:17" x14ac:dyDescent="0.35">
      <c r="A552" s="192" t="s">
        <v>514</v>
      </c>
      <c r="C552" s="195">
        <v>1000</v>
      </c>
      <c r="D552" s="195">
        <v>3667</v>
      </c>
      <c r="E552" s="195">
        <v>26279</v>
      </c>
      <c r="F552" s="195">
        <v>13153</v>
      </c>
      <c r="G552" s="195">
        <v>15242</v>
      </c>
      <c r="H552" s="195">
        <v>5852</v>
      </c>
      <c r="I552" s="195">
        <v>42612</v>
      </c>
      <c r="J552" s="195">
        <v>29449</v>
      </c>
      <c r="K552" s="195">
        <v>123079</v>
      </c>
      <c r="L552" s="195">
        <v>10353</v>
      </c>
      <c r="M552" s="195">
        <v>0</v>
      </c>
      <c r="N552" s="195">
        <v>0</v>
      </c>
      <c r="O552" s="197">
        <f t="shared" si="359"/>
        <v>270686</v>
      </c>
    </row>
    <row r="554" spans="1:17" x14ac:dyDescent="0.35">
      <c r="C554" s="184">
        <f>+C551/$O$551</f>
        <v>0.1124907371192078</v>
      </c>
      <c r="D554" s="184">
        <f t="shared" ref="D554:N554" si="360">+D551/$O$551</f>
        <v>7.9538240863690809E-2</v>
      </c>
      <c r="E554" s="184">
        <f t="shared" si="360"/>
        <v>0.15491815624138544</v>
      </c>
      <c r="F554" s="184">
        <f t="shared" si="360"/>
        <v>7.6172669615021379E-2</v>
      </c>
      <c r="G554" s="184">
        <f t="shared" si="360"/>
        <v>6.6745272261052493E-2</v>
      </c>
      <c r="H554" s="184">
        <f t="shared" si="360"/>
        <v>0.10655638277570836</v>
      </c>
      <c r="I554" s="184">
        <f t="shared" si="360"/>
        <v>0.13483146319220757</v>
      </c>
      <c r="J554" s="184">
        <f t="shared" si="360"/>
        <v>9.9458094113991397E-2</v>
      </c>
      <c r="K554" s="184">
        <f t="shared" si="360"/>
        <v>9.2278977717705948E-2</v>
      </c>
      <c r="L554" s="184">
        <f t="shared" si="360"/>
        <v>6.882264962248294E-2</v>
      </c>
      <c r="M554" s="184">
        <f t="shared" si="360"/>
        <v>4.0936782387729267E-3</v>
      </c>
      <c r="N554" s="184">
        <f t="shared" si="360"/>
        <v>4.0936782387729267E-3</v>
      </c>
    </row>
    <row r="555" spans="1:17" x14ac:dyDescent="0.35">
      <c r="C555" s="185">
        <f>+C552/$O$552</f>
        <v>3.6943174009738222E-3</v>
      </c>
      <c r="D555" s="185">
        <f t="shared" ref="D555:N555" si="361">+D552/$O$552</f>
        <v>1.3547061909371005E-2</v>
      </c>
      <c r="E555" s="185">
        <f t="shared" si="361"/>
        <v>9.7082966980191074E-2</v>
      </c>
      <c r="F555" s="185">
        <f t="shared" si="361"/>
        <v>4.8591356775008684E-2</v>
      </c>
      <c r="G555" s="185">
        <f t="shared" si="361"/>
        <v>5.6308785825642999E-2</v>
      </c>
      <c r="H555" s="185">
        <f t="shared" si="361"/>
        <v>2.1619145430498806E-2</v>
      </c>
      <c r="I555" s="185">
        <f t="shared" si="361"/>
        <v>0.1574222530902965</v>
      </c>
      <c r="J555" s="185">
        <f t="shared" si="361"/>
        <v>0.10879395314127809</v>
      </c>
      <c r="K555" s="185">
        <f t="shared" si="361"/>
        <v>0.45469289139445707</v>
      </c>
      <c r="L555" s="185">
        <f t="shared" si="361"/>
        <v>3.8247268052281978E-2</v>
      </c>
      <c r="M555" s="185">
        <f t="shared" si="361"/>
        <v>0</v>
      </c>
      <c r="N555" s="185">
        <f t="shared" si="361"/>
        <v>0</v>
      </c>
    </row>
    <row r="556" spans="1:17" x14ac:dyDescent="0.35">
      <c r="A556" s="31" t="s">
        <v>588</v>
      </c>
    </row>
    <row r="557" spans="1:17" x14ac:dyDescent="0.35">
      <c r="B557" s="40"/>
      <c r="C557" s="40"/>
      <c r="O557" s="159" t="s">
        <v>4</v>
      </c>
      <c r="Q557" s="188">
        <v>2017</v>
      </c>
    </row>
    <row r="558" spans="1:17" x14ac:dyDescent="0.35">
      <c r="A558" s="191" t="s">
        <v>174</v>
      </c>
      <c r="C558" s="172">
        <f>SUM(C559:C567)</f>
        <v>30066063.475882251</v>
      </c>
      <c r="D558" s="172">
        <f t="shared" ref="D558:O558" si="362">SUM(D559:D568)</f>
        <v>22180896.975602761</v>
      </c>
      <c r="E558" s="172">
        <f t="shared" si="362"/>
        <v>25827656.511503614</v>
      </c>
      <c r="F558" s="172">
        <f t="shared" si="362"/>
        <v>16481120.280997179</v>
      </c>
      <c r="G558" s="172">
        <f t="shared" si="362"/>
        <v>17056327.89381082</v>
      </c>
      <c r="H558" s="172">
        <f t="shared" si="362"/>
        <v>16961612.668183532</v>
      </c>
      <c r="I558" s="172">
        <f t="shared" si="362"/>
        <v>21578396.93930646</v>
      </c>
      <c r="J558" s="172">
        <f t="shared" si="362"/>
        <v>17251312.330099396</v>
      </c>
      <c r="K558" s="172">
        <f t="shared" si="362"/>
        <v>19214043.518697463</v>
      </c>
      <c r="L558" s="174">
        <f t="shared" si="362"/>
        <v>19089267.505158637</v>
      </c>
      <c r="M558" s="174">
        <f t="shared" si="362"/>
        <v>7905763.4830097985</v>
      </c>
      <c r="N558" s="173">
        <f t="shared" si="362"/>
        <v>6900031.6037906203</v>
      </c>
      <c r="O558" s="172">
        <f t="shared" si="362"/>
        <v>220512493.18604261</v>
      </c>
      <c r="P558" s="176"/>
      <c r="Q558" s="172">
        <f>SUM(Q559:Q567)</f>
        <v>170679444.58939433</v>
      </c>
    </row>
    <row r="559" spans="1:17" x14ac:dyDescent="0.35">
      <c r="A559" s="379" t="s">
        <v>589</v>
      </c>
      <c r="C559" s="175">
        <f t="shared" ref="C559:N559" si="363">+$O$559*C460</f>
        <v>14646873.599999998</v>
      </c>
      <c r="D559" s="175">
        <f t="shared" si="363"/>
        <v>10568750.399999999</v>
      </c>
      <c r="E559" s="175">
        <f t="shared" si="363"/>
        <v>12821889.599999998</v>
      </c>
      <c r="F559" s="175">
        <f t="shared" si="363"/>
        <v>7560647.9999999981</v>
      </c>
      <c r="G559" s="175">
        <f t="shared" si="363"/>
        <v>7440206.3999999985</v>
      </c>
      <c r="H559" s="175">
        <f t="shared" si="363"/>
        <v>7681089.5999999978</v>
      </c>
      <c r="I559" s="175">
        <f t="shared" si="363"/>
        <v>10428479.999999998</v>
      </c>
      <c r="J559" s="175">
        <f t="shared" si="363"/>
        <v>7993209.5999999978</v>
      </c>
      <c r="K559" s="175">
        <f t="shared" si="363"/>
        <v>8742297.5999999978</v>
      </c>
      <c r="L559" s="175">
        <f t="shared" si="363"/>
        <v>9580247.9999999981</v>
      </c>
      <c r="M559" s="175">
        <f t="shared" si="363"/>
        <v>3365320.8514410574</v>
      </c>
      <c r="N559" s="175">
        <f t="shared" si="363"/>
        <v>2937201.4836697942</v>
      </c>
      <c r="O559" s="402">
        <f>+Q455*72%</f>
        <v>103766215.13511084</v>
      </c>
      <c r="P559" s="187">
        <v>0.53</v>
      </c>
      <c r="Q559" s="172">
        <f>+O559*16%+O559</f>
        <v>120368809.55672857</v>
      </c>
    </row>
    <row r="560" spans="1:17" x14ac:dyDescent="0.35">
      <c r="A560" s="379" t="s">
        <v>590</v>
      </c>
      <c r="C560" s="175">
        <f t="shared" ref="C560:N560" si="364">+$O$560*C460</f>
        <v>3458289.5999999996</v>
      </c>
      <c r="D560" s="175">
        <f t="shared" si="364"/>
        <v>2495399.4</v>
      </c>
      <c r="E560" s="175">
        <f t="shared" si="364"/>
        <v>3027390.5999999996</v>
      </c>
      <c r="F560" s="175">
        <f t="shared" si="364"/>
        <v>1785152.9999999998</v>
      </c>
      <c r="G560" s="175">
        <f t="shared" si="364"/>
        <v>1756715.3999999997</v>
      </c>
      <c r="H560" s="175">
        <f t="shared" si="364"/>
        <v>1813590.5999999996</v>
      </c>
      <c r="I560" s="175">
        <f t="shared" si="364"/>
        <v>2462279.9999999995</v>
      </c>
      <c r="J560" s="175">
        <f t="shared" si="364"/>
        <v>1887285.5999999996</v>
      </c>
      <c r="K560" s="175">
        <f t="shared" si="364"/>
        <v>2064153.5999999999</v>
      </c>
      <c r="L560" s="175">
        <f t="shared" si="364"/>
        <v>2262002.9999999995</v>
      </c>
      <c r="M560" s="175">
        <f t="shared" si="364"/>
        <v>794589.64547913859</v>
      </c>
      <c r="N560" s="175">
        <f t="shared" si="364"/>
        <v>693505.90586647915</v>
      </c>
      <c r="O560" s="402">
        <f>+Q455*17%</f>
        <v>24500356.351345617</v>
      </c>
      <c r="P560" s="187"/>
      <c r="Q560" s="172"/>
    </row>
    <row r="561" spans="1:17" x14ac:dyDescent="0.35">
      <c r="A561" s="379" t="s">
        <v>591</v>
      </c>
      <c r="C561" s="175">
        <f t="shared" ref="C561:N561" si="365">+$O$561*C460</f>
        <v>2237716.7999999998</v>
      </c>
      <c r="D561" s="175">
        <f t="shared" si="365"/>
        <v>1614670.2</v>
      </c>
      <c r="E561" s="175">
        <f t="shared" si="365"/>
        <v>1958899.7999999998</v>
      </c>
      <c r="F561" s="175">
        <f t="shared" si="365"/>
        <v>1155098.9999999998</v>
      </c>
      <c r="G561" s="175">
        <f t="shared" si="365"/>
        <v>1136698.1999999997</v>
      </c>
      <c r="H561" s="175">
        <f t="shared" si="365"/>
        <v>1173499.7999999998</v>
      </c>
      <c r="I561" s="175">
        <f t="shared" si="365"/>
        <v>1593239.9999999998</v>
      </c>
      <c r="J561" s="175">
        <f t="shared" si="365"/>
        <v>1221184.7999999998</v>
      </c>
      <c r="K561" s="175">
        <f t="shared" si="365"/>
        <v>1335628.7999999998</v>
      </c>
      <c r="L561" s="175">
        <f t="shared" si="365"/>
        <v>1463648.9999999998</v>
      </c>
      <c r="M561" s="175">
        <f t="shared" si="365"/>
        <v>514146.24119238375</v>
      </c>
      <c r="N561" s="175">
        <f t="shared" si="365"/>
        <v>448739.11556066299</v>
      </c>
      <c r="O561" s="402">
        <f>+Q455*11%</f>
        <v>15853171.756753046</v>
      </c>
      <c r="P561" s="187"/>
      <c r="Q561" s="172"/>
    </row>
    <row r="562" spans="1:17" x14ac:dyDescent="0.35">
      <c r="A562" s="379" t="s">
        <v>592</v>
      </c>
      <c r="C562" s="175">
        <f t="shared" ref="C562:N562" si="366">+$O$562*C461</f>
        <v>11549174.4</v>
      </c>
      <c r="D562" s="175">
        <f t="shared" si="366"/>
        <v>8683545.6000000015</v>
      </c>
      <c r="E562" s="175">
        <f t="shared" si="366"/>
        <v>9755769.5999999996</v>
      </c>
      <c r="F562" s="175">
        <f t="shared" si="366"/>
        <v>6653664</v>
      </c>
      <c r="G562" s="175">
        <f t="shared" si="366"/>
        <v>7150852.7999999998</v>
      </c>
      <c r="H562" s="175">
        <f t="shared" si="366"/>
        <v>6916579.2000000002</v>
      </c>
      <c r="I562" s="175">
        <f t="shared" si="366"/>
        <v>8346456.0000000009</v>
      </c>
      <c r="J562" s="175">
        <f t="shared" si="366"/>
        <v>6909969.6000000006</v>
      </c>
      <c r="K562" s="175">
        <f t="shared" si="366"/>
        <v>7806672</v>
      </c>
      <c r="L562" s="175">
        <f t="shared" si="366"/>
        <v>7139102.4000000013</v>
      </c>
      <c r="M562" s="175">
        <f t="shared" si="366"/>
        <v>3371905.282583422</v>
      </c>
      <c r="N562" s="175">
        <f t="shared" si="366"/>
        <v>2942948.2762563592</v>
      </c>
      <c r="O562" s="402">
        <f>+Q456*72%</f>
        <v>87226639.158839777</v>
      </c>
      <c r="P562" s="187">
        <f>+O562/O558</f>
        <v>0.39556325312257096</v>
      </c>
      <c r="Q562" s="172">
        <f>+O562*15%+O562</f>
        <v>100310635.03266574</v>
      </c>
    </row>
    <row r="563" spans="1:17" x14ac:dyDescent="0.35">
      <c r="A563" s="379" t="s">
        <v>593</v>
      </c>
      <c r="C563" s="175">
        <f t="shared" ref="C563:N563" si="367">+$O$563*C461</f>
        <v>2726888.4000000004</v>
      </c>
      <c r="D563" s="175">
        <f t="shared" si="367"/>
        <v>2050281.6000000003</v>
      </c>
      <c r="E563" s="175">
        <f t="shared" si="367"/>
        <v>2303445.6</v>
      </c>
      <c r="F563" s="175">
        <f t="shared" si="367"/>
        <v>1571004</v>
      </c>
      <c r="G563" s="175">
        <f t="shared" si="367"/>
        <v>1688395.8</v>
      </c>
      <c r="H563" s="175">
        <f t="shared" si="367"/>
        <v>1633081.2000000002</v>
      </c>
      <c r="I563" s="175">
        <f t="shared" si="367"/>
        <v>1970691.0000000002</v>
      </c>
      <c r="J563" s="175">
        <f t="shared" si="367"/>
        <v>1631520.6</v>
      </c>
      <c r="K563" s="175">
        <f t="shared" si="367"/>
        <v>1843242</v>
      </c>
      <c r="L563" s="175">
        <f t="shared" si="367"/>
        <v>1685621.4000000004</v>
      </c>
      <c r="M563" s="175">
        <f t="shared" si="367"/>
        <v>796144.30283219682</v>
      </c>
      <c r="N563" s="175">
        <f t="shared" si="367"/>
        <v>694862.78744941822</v>
      </c>
      <c r="O563" s="402">
        <f>+Q456*17%</f>
        <v>20595178.690281615</v>
      </c>
      <c r="P563" s="187"/>
      <c r="Q563" s="172"/>
    </row>
    <row r="564" spans="1:17" x14ac:dyDescent="0.35">
      <c r="A564" s="379" t="s">
        <v>594</v>
      </c>
      <c r="C564" s="175">
        <f t="shared" ref="C564:N564" si="368">+$O$564*C461</f>
        <v>1764457.2000000002</v>
      </c>
      <c r="D564" s="175">
        <f t="shared" si="368"/>
        <v>1326652.8000000003</v>
      </c>
      <c r="E564" s="175">
        <f t="shared" si="368"/>
        <v>1490464.8</v>
      </c>
      <c r="F564" s="175">
        <f t="shared" si="368"/>
        <v>1016532</v>
      </c>
      <c r="G564" s="175">
        <f t="shared" si="368"/>
        <v>1092491.3999999999</v>
      </c>
      <c r="H564" s="175">
        <f t="shared" si="368"/>
        <v>1056699.6000000001</v>
      </c>
      <c r="I564" s="175">
        <f t="shared" si="368"/>
        <v>1275153.0000000002</v>
      </c>
      <c r="J564" s="175">
        <f t="shared" si="368"/>
        <v>1055689.8</v>
      </c>
      <c r="K564" s="175">
        <f t="shared" si="368"/>
        <v>1192686</v>
      </c>
      <c r="L564" s="175">
        <f t="shared" si="368"/>
        <v>1090696.2000000002</v>
      </c>
      <c r="M564" s="175">
        <f t="shared" si="368"/>
        <v>515152.19595024502</v>
      </c>
      <c r="N564" s="175">
        <f t="shared" si="368"/>
        <v>449617.09776138823</v>
      </c>
      <c r="O564" s="402">
        <f>+Q456*11%</f>
        <v>13326292.093711633</v>
      </c>
      <c r="P564" s="187"/>
      <c r="Q564" s="172"/>
    </row>
    <row r="565" spans="1:17" x14ac:dyDescent="0.35">
      <c r="A565" s="379" t="s">
        <v>595</v>
      </c>
      <c r="C565" s="175">
        <f t="shared" ref="C565:N565" si="369">+$O$565*C460</f>
        <v>-4548482.2973647807</v>
      </c>
      <c r="D565" s="175">
        <f t="shared" si="369"/>
        <v>-3282050.1775660128</v>
      </c>
      <c r="E565" s="175">
        <f t="shared" si="369"/>
        <v>-3981746.511717394</v>
      </c>
      <c r="F565" s="175">
        <f t="shared" si="369"/>
        <v>-2347905.3976820302</v>
      </c>
      <c r="G565" s="175">
        <f t="shared" si="369"/>
        <v>-2310503.1164562069</v>
      </c>
      <c r="H565" s="175">
        <f t="shared" si="369"/>
        <v>-2385307.678907854</v>
      </c>
      <c r="I565" s="175">
        <f t="shared" si="369"/>
        <v>-3238490.2036993522</v>
      </c>
      <c r="J565" s="175">
        <f t="shared" si="369"/>
        <v>-2482234.3223284329</v>
      </c>
      <c r="K565" s="175">
        <f t="shared" si="369"/>
        <v>-2714858.2665378232</v>
      </c>
      <c r="L565" s="175">
        <f>+$O$565*L460</f>
        <v>-2975077.7962857783</v>
      </c>
      <c r="M565" s="175">
        <f t="shared" si="369"/>
        <v>-1045076.4262574248</v>
      </c>
      <c r="N565" s="175">
        <f t="shared" si="369"/>
        <v>-912127.00519690628</v>
      </c>
      <c r="O565" s="402">
        <f>+Q457*72%</f>
        <v>-32223859.199999999</v>
      </c>
      <c r="P565" s="187"/>
      <c r="Q565" s="172"/>
    </row>
    <row r="566" spans="1:17" x14ac:dyDescent="0.35">
      <c r="A566" s="379" t="s">
        <v>596</v>
      </c>
      <c r="C566" s="175">
        <f t="shared" ref="C566:N566" si="370">+$O$566*C460</f>
        <v>-1073947.2091000178</v>
      </c>
      <c r="D566" s="175">
        <f t="shared" si="370"/>
        <v>-774928.51414753089</v>
      </c>
      <c r="E566" s="175">
        <f t="shared" si="370"/>
        <v>-940134.59304438473</v>
      </c>
      <c r="F566" s="175">
        <f t="shared" si="370"/>
        <v>-554366.55223047943</v>
      </c>
      <c r="G566" s="175">
        <f t="shared" si="370"/>
        <v>-545535.45805215999</v>
      </c>
      <c r="H566" s="175">
        <f t="shared" si="370"/>
        <v>-563197.64640879887</v>
      </c>
      <c r="I566" s="175">
        <f t="shared" si="370"/>
        <v>-764643.52031790267</v>
      </c>
      <c r="J566" s="175">
        <f t="shared" si="370"/>
        <v>-586083.1038831023</v>
      </c>
      <c r="K566" s="175">
        <f t="shared" si="370"/>
        <v>-641008.20182143059</v>
      </c>
      <c r="L566" s="175">
        <f t="shared" si="370"/>
        <v>-702448.92412303097</v>
      </c>
      <c r="M566" s="175">
        <f t="shared" si="370"/>
        <v>-246754.15619966976</v>
      </c>
      <c r="N566" s="175">
        <f t="shared" si="370"/>
        <v>-215363.32067149176</v>
      </c>
      <c r="O566" s="402">
        <f>+Q457*17%</f>
        <v>-7608411.2000000002</v>
      </c>
      <c r="P566" s="187"/>
      <c r="Q566" s="172"/>
    </row>
    <row r="567" spans="1:17" x14ac:dyDescent="0.35">
      <c r="A567" s="379" t="s">
        <v>597</v>
      </c>
      <c r="C567" s="175">
        <f t="shared" ref="C567:N567" si="371">+$O$567*C460</f>
        <v>-694907.01765295258</v>
      </c>
      <c r="D567" s="175">
        <f t="shared" si="371"/>
        <v>-501424.33268369641</v>
      </c>
      <c r="E567" s="175">
        <f t="shared" si="371"/>
        <v>-608322.38373460178</v>
      </c>
      <c r="F567" s="175">
        <f t="shared" si="371"/>
        <v>-358707.7690903102</v>
      </c>
      <c r="G567" s="175">
        <f t="shared" si="371"/>
        <v>-352993.53168080939</v>
      </c>
      <c r="H567" s="175">
        <f t="shared" si="371"/>
        <v>-364422.00649981096</v>
      </c>
      <c r="I567" s="175">
        <f t="shared" si="371"/>
        <v>-494769.33667628991</v>
      </c>
      <c r="J567" s="175">
        <f t="shared" si="371"/>
        <v>-379230.24368906615</v>
      </c>
      <c r="K567" s="175">
        <f t="shared" si="371"/>
        <v>-414770.01294327853</v>
      </c>
      <c r="L567" s="175">
        <f t="shared" si="371"/>
        <v>-454525.77443254943</v>
      </c>
      <c r="M567" s="175">
        <f t="shared" si="371"/>
        <v>-159664.45401155102</v>
      </c>
      <c r="N567" s="175">
        <f t="shared" si="371"/>
        <v>-139352.73690508289</v>
      </c>
      <c r="O567" s="402">
        <f>+Q457*11%</f>
        <v>-4923089.5999999996</v>
      </c>
      <c r="P567" s="187"/>
      <c r="Q567" s="172">
        <v>-50000000</v>
      </c>
    </row>
    <row r="569" spans="1:17" x14ac:dyDescent="0.35"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</row>
    <row r="570" spans="1:17" x14ac:dyDescent="0.35"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</row>
    <row r="571" spans="1:17" x14ac:dyDescent="0.35">
      <c r="A571" s="192" t="s">
        <v>589</v>
      </c>
      <c r="C571" s="175">
        <f>+C559-C565</f>
        <v>19195355.89736478</v>
      </c>
      <c r="D571" s="175">
        <f t="shared" ref="D571:N571" si="372">+D559-D565</f>
        <v>13850800.577566011</v>
      </c>
      <c r="E571" s="175">
        <f t="shared" si="372"/>
        <v>16803636.111717392</v>
      </c>
      <c r="F571" s="175">
        <f t="shared" si="372"/>
        <v>9908553.3976820279</v>
      </c>
      <c r="G571" s="175">
        <f t="shared" si="372"/>
        <v>9750709.5164562054</v>
      </c>
      <c r="H571" s="175">
        <f t="shared" si="372"/>
        <v>10066397.278907852</v>
      </c>
      <c r="I571" s="175">
        <f t="shared" si="372"/>
        <v>13666970.20369935</v>
      </c>
      <c r="J571" s="175">
        <f t="shared" si="372"/>
        <v>10475443.922328431</v>
      </c>
      <c r="K571" s="175">
        <f t="shared" si="372"/>
        <v>11457155.866537821</v>
      </c>
      <c r="L571" s="175">
        <f t="shared" si="372"/>
        <v>12555325.796285776</v>
      </c>
      <c r="M571" s="175">
        <f t="shared" si="372"/>
        <v>4410397.2776984824</v>
      </c>
      <c r="N571" s="175">
        <f t="shared" si="372"/>
        <v>3849328.4888667003</v>
      </c>
      <c r="O571" s="292">
        <f>+SUM(C571:N571)</f>
        <v>135990074.33511081</v>
      </c>
    </row>
    <row r="572" spans="1:17" x14ac:dyDescent="0.35">
      <c r="A572" s="192" t="s">
        <v>590</v>
      </c>
      <c r="C572" s="175">
        <f>+C560-C566</f>
        <v>4532236.809100017</v>
      </c>
      <c r="D572" s="175">
        <f t="shared" ref="D572:N572" si="373">+D560-D566</f>
        <v>3270327.9141475307</v>
      </c>
      <c r="E572" s="175">
        <f t="shared" si="373"/>
        <v>3967525.1930443845</v>
      </c>
      <c r="F572" s="175">
        <f t="shared" si="373"/>
        <v>2339519.5522304792</v>
      </c>
      <c r="G572" s="175">
        <f t="shared" si="373"/>
        <v>2302250.8580521597</v>
      </c>
      <c r="H572" s="175">
        <f t="shared" si="373"/>
        <v>2376788.2464087987</v>
      </c>
      <c r="I572" s="175">
        <f t="shared" si="373"/>
        <v>3226923.5203179023</v>
      </c>
      <c r="J572" s="175">
        <f t="shared" si="373"/>
        <v>2473368.7038831022</v>
      </c>
      <c r="K572" s="175">
        <f t="shared" si="373"/>
        <v>2705161.8018214302</v>
      </c>
      <c r="L572" s="175">
        <f t="shared" si="373"/>
        <v>2964451.9241230306</v>
      </c>
      <c r="M572" s="175">
        <f t="shared" si="373"/>
        <v>1041343.8016788084</v>
      </c>
      <c r="N572" s="175">
        <f t="shared" si="373"/>
        <v>908869.22653797094</v>
      </c>
      <c r="O572" s="292">
        <f t="shared" ref="O572:O573" si="374">+SUM(C572:N572)</f>
        <v>32108767.551345609</v>
      </c>
    </row>
    <row r="573" spans="1:17" x14ac:dyDescent="0.35">
      <c r="A573" s="192" t="s">
        <v>591</v>
      </c>
      <c r="C573" s="175">
        <f>+C561-C567</f>
        <v>2932623.8176529524</v>
      </c>
      <c r="D573" s="175">
        <f t="shared" ref="D573:N573" si="375">+D561-D567</f>
        <v>2116094.5326836966</v>
      </c>
      <c r="E573" s="175">
        <f t="shared" si="375"/>
        <v>2567222.1837346014</v>
      </c>
      <c r="F573" s="175">
        <f t="shared" si="375"/>
        <v>1513806.76909031</v>
      </c>
      <c r="G573" s="175">
        <f t="shared" si="375"/>
        <v>1489691.7316808091</v>
      </c>
      <c r="H573" s="175">
        <f t="shared" si="375"/>
        <v>1537921.8064998109</v>
      </c>
      <c r="I573" s="175">
        <f t="shared" si="375"/>
        <v>2088009.3366762898</v>
      </c>
      <c r="J573" s="175">
        <f t="shared" si="375"/>
        <v>1600415.0436890661</v>
      </c>
      <c r="K573" s="175">
        <f t="shared" si="375"/>
        <v>1750398.8129432783</v>
      </c>
      <c r="L573" s="175">
        <f t="shared" si="375"/>
        <v>1918174.7744325493</v>
      </c>
      <c r="M573" s="175">
        <f t="shared" si="375"/>
        <v>673810.6952039348</v>
      </c>
      <c r="N573" s="175">
        <f t="shared" si="375"/>
        <v>588091.85246574588</v>
      </c>
      <c r="O573" s="292">
        <f t="shared" si="374"/>
        <v>20776261.356753044</v>
      </c>
    </row>
    <row r="574" spans="1:17" x14ac:dyDescent="0.35"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6"/>
      <c r="N574" s="196"/>
    </row>
    <row r="575" spans="1:17" x14ac:dyDescent="0.35"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6"/>
      <c r="N575" s="196"/>
    </row>
    <row r="576" spans="1:17" x14ac:dyDescent="0.35"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6"/>
      <c r="N576" s="196"/>
    </row>
    <row r="577" spans="1:17" x14ac:dyDescent="0.35">
      <c r="A577" s="191" t="s">
        <v>177</v>
      </c>
      <c r="C577" s="172">
        <f t="shared" ref="C577:N577" si="376">SUM(C578:C583)</f>
        <v>161576439.99999997</v>
      </c>
      <c r="D577" s="172">
        <f t="shared" si="376"/>
        <v>250756039.99999997</v>
      </c>
      <c r="E577" s="172">
        <f t="shared" si="376"/>
        <v>1271000270</v>
      </c>
      <c r="F577" s="172">
        <f t="shared" si="376"/>
        <v>70956090</v>
      </c>
      <c r="G577" s="172">
        <f t="shared" si="376"/>
        <v>47592210</v>
      </c>
      <c r="H577" s="172">
        <f t="shared" si="376"/>
        <v>42777279.999999993</v>
      </c>
      <c r="I577" s="172">
        <f t="shared" si="376"/>
        <v>27912130</v>
      </c>
      <c r="J577" s="172">
        <f t="shared" si="376"/>
        <v>29444410</v>
      </c>
      <c r="K577" s="172">
        <f t="shared" si="376"/>
        <v>37014279.999999993</v>
      </c>
      <c r="L577" s="172">
        <f t="shared" si="376"/>
        <v>21969459.999999996</v>
      </c>
      <c r="M577" s="172">
        <f t="shared" si="376"/>
        <v>15812874.125186358</v>
      </c>
      <c r="N577" s="172">
        <f t="shared" si="376"/>
        <v>16540118.301042657</v>
      </c>
      <c r="O577" s="172">
        <f>SUM(O578:O586)</f>
        <v>1976568764.426229</v>
      </c>
    </row>
    <row r="578" spans="1:17" x14ac:dyDescent="0.35">
      <c r="A578" s="379" t="s">
        <v>598</v>
      </c>
      <c r="C578" s="175">
        <f>+$O$578*C471</f>
        <v>61846617.599999994</v>
      </c>
      <c r="D578" s="175">
        <f t="shared" ref="D578:N578" si="377">+$O$578*D471</f>
        <v>98061580.799999982</v>
      </c>
      <c r="E578" s="175">
        <f t="shared" si="377"/>
        <v>621859701.60000002</v>
      </c>
      <c r="F578" s="175">
        <f t="shared" si="377"/>
        <v>34188285.600000001</v>
      </c>
      <c r="G578" s="175">
        <f t="shared" si="377"/>
        <v>22910975.999999996</v>
      </c>
      <c r="H578" s="175">
        <f t="shared" si="377"/>
        <v>18869824.799999997</v>
      </c>
      <c r="I578" s="175">
        <f t="shared" si="377"/>
        <v>13101400.799999999</v>
      </c>
      <c r="J578" s="175">
        <f t="shared" si="377"/>
        <v>14742432</v>
      </c>
      <c r="K578" s="175">
        <f t="shared" si="377"/>
        <v>17838179.999999996</v>
      </c>
      <c r="L578" s="175">
        <f t="shared" si="377"/>
        <v>10283090.399999999</v>
      </c>
      <c r="M578" s="175">
        <f t="shared" si="377"/>
        <v>6437720.5135401059</v>
      </c>
      <c r="N578" s="175">
        <f t="shared" si="377"/>
        <v>7965415.9781419588</v>
      </c>
      <c r="O578" s="402">
        <f>+Q465*72%</f>
        <v>928105226.09168196</v>
      </c>
    </row>
    <row r="579" spans="1:17" x14ac:dyDescent="0.35">
      <c r="A579" s="379" t="s">
        <v>599</v>
      </c>
      <c r="C579" s="175">
        <f>+$O$579*C471</f>
        <v>14602673.6</v>
      </c>
      <c r="D579" s="175">
        <f t="shared" ref="D579:N579" si="378">+$O$579*D471</f>
        <v>23153428.800000001</v>
      </c>
      <c r="E579" s="175">
        <f t="shared" si="378"/>
        <v>146827985.10000002</v>
      </c>
      <c r="F579" s="175">
        <f t="shared" si="378"/>
        <v>8072234.1000000015</v>
      </c>
      <c r="G579" s="175">
        <f t="shared" si="378"/>
        <v>5409536</v>
      </c>
      <c r="H579" s="175">
        <f t="shared" si="378"/>
        <v>4455375.3</v>
      </c>
      <c r="I579" s="175">
        <f t="shared" si="378"/>
        <v>3093386.3000000003</v>
      </c>
      <c r="J579" s="175">
        <f t="shared" si="378"/>
        <v>3480852.0000000005</v>
      </c>
      <c r="K579" s="175">
        <f t="shared" si="378"/>
        <v>4211792.5</v>
      </c>
      <c r="L579" s="175">
        <f t="shared" si="378"/>
        <v>2427951.9</v>
      </c>
      <c r="M579" s="175">
        <f t="shared" si="378"/>
        <v>1520017.3434747474</v>
      </c>
      <c r="N579" s="175">
        <f t="shared" si="378"/>
        <v>1880723.2170612961</v>
      </c>
      <c r="O579" s="402">
        <f>+Q465*17%</f>
        <v>219135956.16053605</v>
      </c>
    </row>
    <row r="580" spans="1:17" x14ac:dyDescent="0.35">
      <c r="A580" s="379" t="s">
        <v>600</v>
      </c>
      <c r="C580" s="175">
        <f>+$O$580*C471</f>
        <v>9448788.7999999989</v>
      </c>
      <c r="D580" s="175">
        <f t="shared" ref="D580:N580" si="379">+$O$580*D471</f>
        <v>14981630.399999997</v>
      </c>
      <c r="E580" s="175">
        <f t="shared" si="379"/>
        <v>95006343.299999997</v>
      </c>
      <c r="F580" s="175">
        <f t="shared" si="379"/>
        <v>5223210.3</v>
      </c>
      <c r="G580" s="175">
        <f t="shared" si="379"/>
        <v>3500287.9999999995</v>
      </c>
      <c r="H580" s="175">
        <f t="shared" si="379"/>
        <v>2882889.8999999994</v>
      </c>
      <c r="I580" s="175">
        <f t="shared" si="379"/>
        <v>2001602.8999999997</v>
      </c>
      <c r="J580" s="175">
        <f t="shared" si="379"/>
        <v>2252316</v>
      </c>
      <c r="K580" s="175">
        <f t="shared" si="379"/>
        <v>2725277.4999999995</v>
      </c>
      <c r="L580" s="175">
        <f t="shared" si="379"/>
        <v>1571027.6999999997</v>
      </c>
      <c r="M580" s="175">
        <f t="shared" si="379"/>
        <v>983540.63401307166</v>
      </c>
      <c r="N580" s="175">
        <f t="shared" si="379"/>
        <v>1216938.5522161324</v>
      </c>
      <c r="O580" s="402">
        <f>+Q465*11%</f>
        <v>141793853.98622918</v>
      </c>
    </row>
    <row r="581" spans="1:17" x14ac:dyDescent="0.35">
      <c r="A581" s="379" t="s">
        <v>601</v>
      </c>
      <c r="C581" s="175">
        <f>+$O$581*C472</f>
        <v>54488419.200000003</v>
      </c>
      <c r="D581" s="175">
        <f t="shared" ref="D581:N581" si="380">+$O$581*D472</f>
        <v>82482768</v>
      </c>
      <c r="E581" s="175">
        <f t="shared" si="380"/>
        <v>293260492.80000001</v>
      </c>
      <c r="F581" s="175">
        <f t="shared" si="380"/>
        <v>16900099.199999999</v>
      </c>
      <c r="G581" s="175">
        <f t="shared" si="380"/>
        <v>11355415.200000001</v>
      </c>
      <c r="H581" s="175">
        <f t="shared" si="380"/>
        <v>11929816.800000001</v>
      </c>
      <c r="I581" s="175">
        <f t="shared" si="380"/>
        <v>6995332.8000000007</v>
      </c>
      <c r="J581" s="175">
        <f t="shared" si="380"/>
        <v>6457543.2000000002</v>
      </c>
      <c r="K581" s="175">
        <f t="shared" si="380"/>
        <v>8812101.5999999996</v>
      </c>
      <c r="L581" s="175">
        <f t="shared" si="380"/>
        <v>5534920.7999999998</v>
      </c>
      <c r="M581" s="175">
        <f t="shared" si="380"/>
        <v>4947548.8565940699</v>
      </c>
      <c r="N581" s="175">
        <f t="shared" si="380"/>
        <v>3943469.1986087523</v>
      </c>
      <c r="O581" s="402">
        <f>+Q466*72%</f>
        <v>507107927.65520287</v>
      </c>
    </row>
    <row r="582" spans="1:17" x14ac:dyDescent="0.35">
      <c r="A582" s="379" t="s">
        <v>602</v>
      </c>
      <c r="C582" s="175">
        <f>+$O$582*C472</f>
        <v>12865321.200000003</v>
      </c>
      <c r="D582" s="175">
        <f t="shared" ref="D582:N582" si="381">+$O$582*D472</f>
        <v>19475098.000000004</v>
      </c>
      <c r="E582" s="175">
        <f t="shared" si="381"/>
        <v>69242060.800000012</v>
      </c>
      <c r="F582" s="175">
        <f t="shared" si="381"/>
        <v>3990301.2000000007</v>
      </c>
      <c r="G582" s="175">
        <f t="shared" si="381"/>
        <v>2681139.7000000007</v>
      </c>
      <c r="H582" s="175">
        <f t="shared" si="381"/>
        <v>2816762.3000000007</v>
      </c>
      <c r="I582" s="175">
        <f t="shared" si="381"/>
        <v>1651675.8000000003</v>
      </c>
      <c r="J582" s="175">
        <f t="shared" si="381"/>
        <v>1524697.7000000002</v>
      </c>
      <c r="K582" s="175">
        <f t="shared" si="381"/>
        <v>2080635.1000000003</v>
      </c>
      <c r="L582" s="175">
        <f t="shared" si="381"/>
        <v>1306856.3000000003</v>
      </c>
      <c r="M582" s="175">
        <f t="shared" si="381"/>
        <v>1168171.2578069335</v>
      </c>
      <c r="N582" s="175">
        <f t="shared" si="381"/>
        <v>931096.89411595557</v>
      </c>
      <c r="O582" s="402">
        <f>+Q466*17%</f>
        <v>119733816.25192292</v>
      </c>
    </row>
    <row r="583" spans="1:17" x14ac:dyDescent="0.35">
      <c r="A583" s="379" t="s">
        <v>603</v>
      </c>
      <c r="C583" s="175">
        <f>+$O$583*C472</f>
        <v>8324619.6000000006</v>
      </c>
      <c r="D583" s="175">
        <f t="shared" ref="D583:N583" si="382">+$O$583*D472</f>
        <v>12601534</v>
      </c>
      <c r="E583" s="175">
        <f t="shared" si="382"/>
        <v>44803686.399999999</v>
      </c>
      <c r="F583" s="175">
        <f t="shared" si="382"/>
        <v>2581959.6</v>
      </c>
      <c r="G583" s="175">
        <f t="shared" si="382"/>
        <v>1734855.1</v>
      </c>
      <c r="H583" s="175">
        <f t="shared" si="382"/>
        <v>1822610.9000000001</v>
      </c>
      <c r="I583" s="175">
        <f t="shared" si="382"/>
        <v>1068731.4000000001</v>
      </c>
      <c r="J583" s="175">
        <f t="shared" si="382"/>
        <v>986569.1</v>
      </c>
      <c r="K583" s="175">
        <f t="shared" si="382"/>
        <v>1346293.3</v>
      </c>
      <c r="L583" s="175">
        <f t="shared" si="382"/>
        <v>845612.9</v>
      </c>
      <c r="M583" s="175">
        <f t="shared" si="382"/>
        <v>755875.51975742739</v>
      </c>
      <c r="N583" s="175">
        <f t="shared" si="382"/>
        <v>602474.46089855942</v>
      </c>
      <c r="O583" s="402">
        <f>+Q466*11%</f>
        <v>77474822.280655995</v>
      </c>
    </row>
    <row r="584" spans="1:17" x14ac:dyDescent="0.35">
      <c r="A584" s="192" t="s">
        <v>595</v>
      </c>
      <c r="C584" s="175">
        <f>+$O$584*C473</f>
        <v>-223307.00533283045</v>
      </c>
      <c r="D584" s="175">
        <f t="shared" ref="D584:N584" si="383">+$O$584*D473</f>
        <v>-547633.8464114652</v>
      </c>
      <c r="E584" s="175">
        <f t="shared" si="383"/>
        <v>-9628025.8489760514</v>
      </c>
      <c r="F584" s="175">
        <f t="shared" si="383"/>
        <v>0</v>
      </c>
      <c r="G584" s="175">
        <f t="shared" si="383"/>
        <v>0</v>
      </c>
      <c r="H584" s="175">
        <f t="shared" si="383"/>
        <v>0</v>
      </c>
      <c r="I584" s="175">
        <f t="shared" si="383"/>
        <v>-1684676.6592796529</v>
      </c>
      <c r="J584" s="175">
        <f t="shared" si="383"/>
        <v>0</v>
      </c>
      <c r="K584" s="175">
        <f t="shared" si="383"/>
        <v>0</v>
      </c>
      <c r="L584" s="175">
        <f t="shared" si="383"/>
        <v>0</v>
      </c>
      <c r="M584" s="175">
        <f t="shared" si="383"/>
        <v>0</v>
      </c>
      <c r="N584" s="175">
        <f t="shared" si="383"/>
        <v>0</v>
      </c>
      <c r="O584" s="402">
        <f>+Q467*72%</f>
        <v>-12083643.359999999</v>
      </c>
    </row>
    <row r="585" spans="1:17" x14ac:dyDescent="0.35">
      <c r="A585" s="192" t="s">
        <v>596</v>
      </c>
      <c r="C585" s="175">
        <f>+$O$585*C473</f>
        <v>-52725.265148029423</v>
      </c>
      <c r="D585" s="175">
        <f t="shared" ref="D585:N585" si="384">+$O$585*D473</f>
        <v>-129302.43595826263</v>
      </c>
      <c r="E585" s="175">
        <f t="shared" si="384"/>
        <v>-2273283.8810082348</v>
      </c>
      <c r="F585" s="175">
        <f t="shared" si="384"/>
        <v>0</v>
      </c>
      <c r="G585" s="175">
        <f t="shared" si="384"/>
        <v>0</v>
      </c>
      <c r="H585" s="175">
        <f t="shared" si="384"/>
        <v>0</v>
      </c>
      <c r="I585" s="175">
        <f t="shared" si="384"/>
        <v>-397770.87788547366</v>
      </c>
      <c r="J585" s="175">
        <f t="shared" si="384"/>
        <v>0</v>
      </c>
      <c r="K585" s="175">
        <f t="shared" si="384"/>
        <v>0</v>
      </c>
      <c r="L585" s="175">
        <f t="shared" si="384"/>
        <v>0</v>
      </c>
      <c r="M585" s="175">
        <f t="shared" si="384"/>
        <v>0</v>
      </c>
      <c r="N585" s="175">
        <f t="shared" si="384"/>
        <v>0</v>
      </c>
      <c r="O585" s="175">
        <f>+Q467*17%</f>
        <v>-2853082.4600000004</v>
      </c>
    </row>
    <row r="586" spans="1:17" x14ac:dyDescent="0.35">
      <c r="A586" s="192" t="s">
        <v>597</v>
      </c>
      <c r="C586" s="175">
        <f>+$O$586*C473</f>
        <v>-34116.348036960211</v>
      </c>
      <c r="D586" s="175">
        <f t="shared" ref="D586:N586" si="385">+$O$586*D473</f>
        <v>-83666.28209064051</v>
      </c>
      <c r="E586" s="175">
        <f t="shared" si="385"/>
        <v>-1470948.3935935635</v>
      </c>
      <c r="F586" s="175">
        <f t="shared" si="385"/>
        <v>0</v>
      </c>
      <c r="G586" s="175">
        <f t="shared" si="385"/>
        <v>0</v>
      </c>
      <c r="H586" s="175">
        <f t="shared" si="385"/>
        <v>0</v>
      </c>
      <c r="I586" s="175">
        <f t="shared" si="385"/>
        <v>-257381.15627883587</v>
      </c>
      <c r="J586" s="175">
        <f t="shared" si="385"/>
        <v>0</v>
      </c>
      <c r="K586" s="175">
        <f t="shared" si="385"/>
        <v>0</v>
      </c>
      <c r="L586" s="175">
        <f t="shared" si="385"/>
        <v>0</v>
      </c>
      <c r="M586" s="175">
        <f t="shared" si="385"/>
        <v>0</v>
      </c>
      <c r="N586" s="175">
        <f t="shared" si="385"/>
        <v>0</v>
      </c>
      <c r="O586" s="175">
        <f>+Q467*11%</f>
        <v>-1846112.18</v>
      </c>
    </row>
    <row r="590" spans="1:17" x14ac:dyDescent="0.35">
      <c r="A590" s="191" t="s">
        <v>180</v>
      </c>
      <c r="C590" s="172">
        <f t="shared" ref="C590:O590" si="386">SUM(C591:C615)</f>
        <v>5625374.5507486165</v>
      </c>
      <c r="D590" s="172">
        <f t="shared" si="386"/>
        <v>5889306.7497140365</v>
      </c>
      <c r="E590" s="172">
        <f t="shared" si="386"/>
        <v>15498481.954931853</v>
      </c>
      <c r="F590" s="172">
        <f t="shared" si="386"/>
        <v>3764941.0711375875</v>
      </c>
      <c r="G590" s="172">
        <f t="shared" si="386"/>
        <v>4885325.173633704</v>
      </c>
      <c r="H590" s="172">
        <f t="shared" si="386"/>
        <v>4585777.3070280282</v>
      </c>
      <c r="I590" s="172">
        <f t="shared" si="386"/>
        <v>4188467.3662857548</v>
      </c>
      <c r="J590" s="172">
        <f t="shared" si="386"/>
        <v>4675210.8267656425</v>
      </c>
      <c r="K590" s="172">
        <f t="shared" si="386"/>
        <v>5513026.8935612058</v>
      </c>
      <c r="L590" s="174">
        <f t="shared" si="386"/>
        <v>3869026.6725496356</v>
      </c>
      <c r="M590" s="174">
        <f t="shared" si="386"/>
        <v>3530082.4231522172</v>
      </c>
      <c r="N590" s="173">
        <f t="shared" si="386"/>
        <v>3080514.5675216252</v>
      </c>
      <c r="O590" s="172">
        <f t="shared" si="386"/>
        <v>65105535.55702991</v>
      </c>
    </row>
    <row r="591" spans="1:17" x14ac:dyDescent="0.35">
      <c r="A591" s="379" t="s">
        <v>604</v>
      </c>
      <c r="C591" s="175">
        <f>+$O$591*C490</f>
        <v>0</v>
      </c>
      <c r="D591" s="175">
        <f t="shared" ref="D591:N591" si="387">+$O$591*D490</f>
        <v>0</v>
      </c>
      <c r="E591" s="175">
        <f t="shared" si="387"/>
        <v>0</v>
      </c>
      <c r="F591" s="175">
        <f t="shared" si="387"/>
        <v>0</v>
      </c>
      <c r="G591" s="175">
        <f t="shared" si="387"/>
        <v>0</v>
      </c>
      <c r="H591" s="175">
        <f t="shared" si="387"/>
        <v>0</v>
      </c>
      <c r="I591" s="175">
        <f t="shared" si="387"/>
        <v>0</v>
      </c>
      <c r="J591" s="175">
        <f t="shared" si="387"/>
        <v>0</v>
      </c>
      <c r="K591" s="175">
        <f t="shared" si="387"/>
        <v>0</v>
      </c>
      <c r="L591" s="175">
        <f>+$O$591*L490</f>
        <v>31168.800000000003</v>
      </c>
      <c r="M591" s="175">
        <f t="shared" si="387"/>
        <v>101682.39899563858</v>
      </c>
      <c r="N591" s="175">
        <f t="shared" si="387"/>
        <v>88741.002759830051</v>
      </c>
      <c r="O591" s="403">
        <f>+Q477*72%</f>
        <v>221592.20175546862</v>
      </c>
      <c r="Q591" s="376">
        <v>307766.94688259531</v>
      </c>
    </row>
    <row r="592" spans="1:17" x14ac:dyDescent="0.35">
      <c r="A592" s="379" t="s">
        <v>605</v>
      </c>
      <c r="C592" s="175">
        <f>+$O$592*C490</f>
        <v>0</v>
      </c>
      <c r="D592" s="175">
        <f t="shared" ref="D592:N592" si="388">+$O$592*D490</f>
        <v>0</v>
      </c>
      <c r="E592" s="175">
        <f t="shared" si="388"/>
        <v>0</v>
      </c>
      <c r="F592" s="175">
        <f t="shared" si="388"/>
        <v>0</v>
      </c>
      <c r="G592" s="175">
        <f t="shared" si="388"/>
        <v>0</v>
      </c>
      <c r="H592" s="175">
        <f t="shared" si="388"/>
        <v>0</v>
      </c>
      <c r="I592" s="175">
        <f t="shared" si="388"/>
        <v>0</v>
      </c>
      <c r="J592" s="175">
        <f t="shared" si="388"/>
        <v>0</v>
      </c>
      <c r="K592" s="175">
        <f t="shared" si="388"/>
        <v>0</v>
      </c>
      <c r="L592" s="175">
        <f>+$O$592*L490</f>
        <v>7359.300000000002</v>
      </c>
      <c r="M592" s="175">
        <f t="shared" si="388"/>
        <v>24008.344207303559</v>
      </c>
      <c r="N592" s="175">
        <f t="shared" si="388"/>
        <v>20952.736762737655</v>
      </c>
      <c r="O592" s="403">
        <f>+Q477*17%</f>
        <v>52320.380970041209</v>
      </c>
      <c r="Q592" s="376">
        <v>1927114.2455012405</v>
      </c>
    </row>
    <row r="593" spans="1:17" x14ac:dyDescent="0.35">
      <c r="A593" s="379" t="s">
        <v>606</v>
      </c>
      <c r="C593" s="175">
        <f>+$O$593*C490</f>
        <v>0</v>
      </c>
      <c r="D593" s="175">
        <f t="shared" ref="D593:N593" si="389">+$O$593*D490</f>
        <v>0</v>
      </c>
      <c r="E593" s="175">
        <f t="shared" si="389"/>
        <v>0</v>
      </c>
      <c r="F593" s="175">
        <f t="shared" si="389"/>
        <v>0</v>
      </c>
      <c r="G593" s="175">
        <f t="shared" si="389"/>
        <v>0</v>
      </c>
      <c r="H593" s="175">
        <f t="shared" si="389"/>
        <v>0</v>
      </c>
      <c r="I593" s="175">
        <f t="shared" si="389"/>
        <v>0</v>
      </c>
      <c r="J593" s="175">
        <f t="shared" si="389"/>
        <v>0</v>
      </c>
      <c r="K593" s="175">
        <f t="shared" si="389"/>
        <v>0</v>
      </c>
      <c r="L593" s="175">
        <f t="shared" si="389"/>
        <v>4761.8999999999996</v>
      </c>
      <c r="M593" s="175">
        <f t="shared" si="389"/>
        <v>15534.810957667005</v>
      </c>
      <c r="N593" s="175">
        <f t="shared" si="389"/>
        <v>13557.653199418479</v>
      </c>
      <c r="O593" s="403">
        <f>+Q477*11%</f>
        <v>33854.364157085482</v>
      </c>
      <c r="Q593" s="376">
        <v>6975640.4857433923</v>
      </c>
    </row>
    <row r="594" spans="1:17" x14ac:dyDescent="0.35">
      <c r="A594" s="379" t="s">
        <v>607</v>
      </c>
      <c r="C594" s="175">
        <f>+$O$594*C491</f>
        <v>0</v>
      </c>
      <c r="D594" s="175">
        <f t="shared" ref="D594:N594" si="390">+$O$594*D491</f>
        <v>62337.599999999999</v>
      </c>
      <c r="E594" s="175">
        <f t="shared" si="390"/>
        <v>155844</v>
      </c>
      <c r="F594" s="175">
        <f t="shared" si="390"/>
        <v>0</v>
      </c>
      <c r="G594" s="175">
        <f t="shared" si="390"/>
        <v>93506.4</v>
      </c>
      <c r="H594" s="175">
        <f t="shared" si="390"/>
        <v>155844</v>
      </c>
      <c r="I594" s="175">
        <f t="shared" si="390"/>
        <v>31168.799999999999</v>
      </c>
      <c r="J594" s="175">
        <f t="shared" si="390"/>
        <v>31168.799999999999</v>
      </c>
      <c r="K594" s="175">
        <f t="shared" si="390"/>
        <v>62337.599999999999</v>
      </c>
      <c r="L594" s="175">
        <f t="shared" si="390"/>
        <v>249350.39999999999</v>
      </c>
      <c r="M594" s="175">
        <f t="shared" si="390"/>
        <v>291534.52545484586</v>
      </c>
      <c r="N594" s="175">
        <f t="shared" si="390"/>
        <v>254430.13130604729</v>
      </c>
      <c r="O594" s="403">
        <f>+Q478*72%</f>
        <v>1387522.2567608932</v>
      </c>
      <c r="Q594" s="376">
        <v>2060160</v>
      </c>
    </row>
    <row r="595" spans="1:17" x14ac:dyDescent="0.35">
      <c r="A595" s="379" t="s">
        <v>608</v>
      </c>
      <c r="C595" s="175">
        <f>+$O$595*C491</f>
        <v>0</v>
      </c>
      <c r="D595" s="175">
        <f t="shared" ref="D595:N595" si="391">+$O$595*D491</f>
        <v>14718.600000000002</v>
      </c>
      <c r="E595" s="175">
        <f t="shared" si="391"/>
        <v>36796.5</v>
      </c>
      <c r="F595" s="175">
        <f t="shared" si="391"/>
        <v>0</v>
      </c>
      <c r="G595" s="175">
        <f t="shared" si="391"/>
        <v>22077.9</v>
      </c>
      <c r="H595" s="175">
        <f t="shared" si="391"/>
        <v>36796.5</v>
      </c>
      <c r="I595" s="175">
        <f t="shared" si="391"/>
        <v>7359.3000000000011</v>
      </c>
      <c r="J595" s="175">
        <f t="shared" si="391"/>
        <v>7359.3000000000011</v>
      </c>
      <c r="K595" s="175">
        <f>+$O$595*K491</f>
        <v>14718.600000000002</v>
      </c>
      <c r="L595" s="175">
        <f t="shared" si="391"/>
        <v>58874.400000000009</v>
      </c>
      <c r="M595" s="175">
        <f t="shared" si="391"/>
        <v>68834.540732394162</v>
      </c>
      <c r="N595" s="175">
        <f t="shared" si="391"/>
        <v>60073.78100281673</v>
      </c>
      <c r="O595" s="403">
        <f>+Q478*17%</f>
        <v>327609.42173521093</v>
      </c>
      <c r="Q595" s="376">
        <v>0</v>
      </c>
    </row>
    <row r="596" spans="1:17" x14ac:dyDescent="0.35">
      <c r="A596" s="379" t="s">
        <v>609</v>
      </c>
      <c r="C596" s="175">
        <f>+$O$596*C491</f>
        <v>0</v>
      </c>
      <c r="D596" s="175">
        <f t="shared" ref="D596:N596" si="392">+$O$596*D491</f>
        <v>9523.8000000000011</v>
      </c>
      <c r="E596" s="175">
        <f t="shared" si="392"/>
        <v>23809.5</v>
      </c>
      <c r="F596" s="175">
        <f t="shared" si="392"/>
        <v>0</v>
      </c>
      <c r="G596" s="175">
        <f t="shared" si="392"/>
        <v>14285.699999999999</v>
      </c>
      <c r="H596" s="175">
        <f t="shared" si="392"/>
        <v>23809.5</v>
      </c>
      <c r="I596" s="175">
        <f t="shared" si="392"/>
        <v>4761.9000000000005</v>
      </c>
      <c r="J596" s="175">
        <f t="shared" si="392"/>
        <v>4761.9000000000005</v>
      </c>
      <c r="K596" s="175">
        <f t="shared" si="392"/>
        <v>9523.8000000000011</v>
      </c>
      <c r="L596" s="175">
        <f t="shared" si="392"/>
        <v>38095.200000000004</v>
      </c>
      <c r="M596" s="175">
        <f t="shared" si="392"/>
        <v>44539.996944490333</v>
      </c>
      <c r="N596" s="175">
        <f t="shared" si="392"/>
        <v>38871.270060646115</v>
      </c>
      <c r="O596" s="403">
        <f>+Q478*11%</f>
        <v>211982.56700513646</v>
      </c>
      <c r="Q596" s="376">
        <v>0</v>
      </c>
    </row>
    <row r="597" spans="1:17" x14ac:dyDescent="0.35">
      <c r="A597" s="379" t="s">
        <v>610</v>
      </c>
      <c r="C597" s="175">
        <f>+$O$597*C492</f>
        <v>654544.79999999981</v>
      </c>
      <c r="D597" s="175">
        <f t="shared" ref="D597:N597" si="393">+$O$597*D492</f>
        <v>374025.6</v>
      </c>
      <c r="E597" s="175">
        <f t="shared" si="393"/>
        <v>1122076.7999999998</v>
      </c>
      <c r="F597" s="175">
        <f t="shared" si="393"/>
        <v>187012.8</v>
      </c>
      <c r="G597" s="175">
        <f t="shared" si="393"/>
        <v>467531.99999999994</v>
      </c>
      <c r="H597" s="175">
        <f t="shared" si="393"/>
        <v>529869.6</v>
      </c>
      <c r="I597" s="175">
        <f t="shared" si="393"/>
        <v>467531.99999999994</v>
      </c>
      <c r="J597" s="175">
        <f t="shared" si="393"/>
        <v>280519.19999999995</v>
      </c>
      <c r="K597" s="175">
        <f t="shared" si="393"/>
        <v>623375.99999999988</v>
      </c>
      <c r="L597" s="175">
        <f t="shared" si="393"/>
        <v>184135.67999999999</v>
      </c>
      <c r="M597" s="175">
        <f t="shared" si="393"/>
        <v>70398.221703284551</v>
      </c>
      <c r="N597" s="175">
        <f t="shared" si="393"/>
        <v>61438.448031957421</v>
      </c>
      <c r="O597" s="403">
        <f>+Q479*72%</f>
        <v>5022461.1497352412</v>
      </c>
      <c r="Q597" s="376">
        <v>129870</v>
      </c>
    </row>
    <row r="598" spans="1:17" x14ac:dyDescent="0.35">
      <c r="A598" s="379" t="s">
        <v>611</v>
      </c>
      <c r="C598" s="175">
        <f>+$O$598*C492</f>
        <v>154545.29999999999</v>
      </c>
      <c r="D598" s="175">
        <f t="shared" ref="D598:N598" si="394">+$O$598*D492</f>
        <v>88311.6</v>
      </c>
      <c r="E598" s="175">
        <f t="shared" si="394"/>
        <v>264934.8</v>
      </c>
      <c r="F598" s="175">
        <f t="shared" si="394"/>
        <v>44155.8</v>
      </c>
      <c r="G598" s="175">
        <f t="shared" si="394"/>
        <v>110389.5</v>
      </c>
      <c r="H598" s="175">
        <f t="shared" si="394"/>
        <v>125108.10000000002</v>
      </c>
      <c r="I598" s="175">
        <f t="shared" si="394"/>
        <v>110389.5</v>
      </c>
      <c r="J598" s="175">
        <f t="shared" si="394"/>
        <v>66233.7</v>
      </c>
      <c r="K598" s="175">
        <f t="shared" si="394"/>
        <v>147186</v>
      </c>
      <c r="L598" s="175">
        <f t="shared" si="394"/>
        <v>43476.480000000003</v>
      </c>
      <c r="M598" s="175">
        <f t="shared" si="394"/>
        <v>16621.802346608856</v>
      </c>
      <c r="N598" s="175">
        <f t="shared" si="394"/>
        <v>14506.300229767727</v>
      </c>
      <c r="O598" s="403">
        <f>+Q479*17%</f>
        <v>1185858.8825763767</v>
      </c>
      <c r="Q598" s="376">
        <v>12549393.849293746</v>
      </c>
    </row>
    <row r="599" spans="1:17" x14ac:dyDescent="0.35">
      <c r="A599" s="379" t="s">
        <v>612</v>
      </c>
      <c r="C599" s="175">
        <f>+$O$599*C492</f>
        <v>99999.89999999998</v>
      </c>
      <c r="D599" s="175">
        <f t="shared" ref="D599:N599" si="395">+$O$599*D492</f>
        <v>57142.799999999996</v>
      </c>
      <c r="E599" s="175">
        <f t="shared" si="395"/>
        <v>171428.39999999997</v>
      </c>
      <c r="F599" s="175">
        <f t="shared" si="395"/>
        <v>28571.399999999998</v>
      </c>
      <c r="G599" s="175">
        <f t="shared" si="395"/>
        <v>71428.499999999985</v>
      </c>
      <c r="H599" s="175">
        <f t="shared" si="395"/>
        <v>80952.3</v>
      </c>
      <c r="I599" s="175">
        <f t="shared" si="395"/>
        <v>71428.499999999985</v>
      </c>
      <c r="J599" s="175">
        <f t="shared" si="395"/>
        <v>42857.099999999991</v>
      </c>
      <c r="K599" s="175">
        <f t="shared" si="395"/>
        <v>95237.999999999985</v>
      </c>
      <c r="L599" s="175">
        <f t="shared" si="395"/>
        <v>28131.839999999997</v>
      </c>
      <c r="M599" s="175">
        <f t="shared" si="395"/>
        <v>10755.283871335141</v>
      </c>
      <c r="N599" s="175">
        <f t="shared" si="395"/>
        <v>9386.4295604379404</v>
      </c>
      <c r="O599" s="403">
        <f>+Q479*11%</f>
        <v>767320.453431773</v>
      </c>
      <c r="Q599" s="376">
        <v>39851259.270660765</v>
      </c>
    </row>
    <row r="600" spans="1:17" x14ac:dyDescent="0.35">
      <c r="A600" s="379" t="s">
        <v>613</v>
      </c>
      <c r="C600" s="175">
        <f>+$O$600*C493</f>
        <v>112527.36</v>
      </c>
      <c r="D600" s="175">
        <f t="shared" ref="D600:N600" si="396">+$O$600*D493</f>
        <v>255744</v>
      </c>
      <c r="E600" s="175">
        <f t="shared" si="396"/>
        <v>163676.16</v>
      </c>
      <c r="F600" s="175">
        <f t="shared" si="396"/>
        <v>143216.63999999998</v>
      </c>
      <c r="G600" s="175">
        <f t="shared" si="396"/>
        <v>173905.91999999998</v>
      </c>
      <c r="H600" s="175">
        <f t="shared" si="396"/>
        <v>122757.12</v>
      </c>
      <c r="I600" s="175">
        <f t="shared" si="396"/>
        <v>214824.96000000002</v>
      </c>
      <c r="J600" s="175">
        <f t="shared" si="396"/>
        <v>153446.39999999999</v>
      </c>
      <c r="K600" s="175">
        <f t="shared" si="396"/>
        <v>143216.63999999998</v>
      </c>
      <c r="L600" s="175">
        <f t="shared" si="396"/>
        <v>0</v>
      </c>
      <c r="M600" s="175">
        <f t="shared" si="396"/>
        <v>0</v>
      </c>
      <c r="N600" s="175">
        <f t="shared" si="396"/>
        <v>0</v>
      </c>
      <c r="O600" s="403">
        <f>+Q480*72%</f>
        <v>1483315.2</v>
      </c>
      <c r="Q600" s="376">
        <v>39851259.270660765</v>
      </c>
    </row>
    <row r="601" spans="1:17" x14ac:dyDescent="0.35">
      <c r="A601" s="379" t="s">
        <v>614</v>
      </c>
      <c r="C601" s="175">
        <f>+$O$601*C493</f>
        <v>26568.959999999999</v>
      </c>
      <c r="D601" s="175">
        <f t="shared" ref="D601:N601" si="397">+$O$601*D493</f>
        <v>60384.000000000007</v>
      </c>
      <c r="E601" s="175">
        <f t="shared" si="397"/>
        <v>38645.760000000002</v>
      </c>
      <c r="F601" s="175">
        <f t="shared" si="397"/>
        <v>33815.040000000001</v>
      </c>
      <c r="G601" s="175">
        <f t="shared" si="397"/>
        <v>41061.120000000003</v>
      </c>
      <c r="H601" s="175">
        <f t="shared" si="397"/>
        <v>28984.32</v>
      </c>
      <c r="I601" s="175">
        <f t="shared" si="397"/>
        <v>50722.560000000005</v>
      </c>
      <c r="J601" s="175">
        <f t="shared" si="397"/>
        <v>36230.400000000001</v>
      </c>
      <c r="K601" s="175">
        <f t="shared" si="397"/>
        <v>33815.040000000001</v>
      </c>
      <c r="L601" s="175">
        <f t="shared" si="397"/>
        <v>0</v>
      </c>
      <c r="M601" s="175">
        <f t="shared" si="397"/>
        <v>0</v>
      </c>
      <c r="N601" s="175">
        <f t="shared" si="397"/>
        <v>0</v>
      </c>
      <c r="O601" s="403">
        <f>+Q480*17%</f>
        <v>350227.20000000001</v>
      </c>
      <c r="Q601" s="40">
        <v>1324460.7589481699</v>
      </c>
    </row>
    <row r="602" spans="1:17" x14ac:dyDescent="0.35">
      <c r="A602" s="379" t="s">
        <v>615</v>
      </c>
      <c r="C602" s="175">
        <f>+$O$602*C493</f>
        <v>17191.68</v>
      </c>
      <c r="D602" s="175">
        <f t="shared" ref="D602:N602" si="398">+$O$602*D493</f>
        <v>39072</v>
      </c>
      <c r="E602" s="175">
        <f t="shared" si="398"/>
        <v>25006.080000000002</v>
      </c>
      <c r="F602" s="175">
        <f t="shared" si="398"/>
        <v>21880.32</v>
      </c>
      <c r="G602" s="175">
        <f t="shared" si="398"/>
        <v>26568.959999999999</v>
      </c>
      <c r="H602" s="175">
        <f t="shared" si="398"/>
        <v>18754.560000000001</v>
      </c>
      <c r="I602" s="175">
        <f t="shared" si="398"/>
        <v>32820.480000000003</v>
      </c>
      <c r="J602" s="175">
        <f t="shared" si="398"/>
        <v>23443.200000000001</v>
      </c>
      <c r="K602" s="175">
        <f t="shared" si="398"/>
        <v>21880.32</v>
      </c>
      <c r="L602" s="175">
        <f t="shared" si="398"/>
        <v>0</v>
      </c>
      <c r="M602" s="175">
        <f t="shared" si="398"/>
        <v>0</v>
      </c>
      <c r="N602" s="175">
        <f t="shared" si="398"/>
        <v>0</v>
      </c>
      <c r="O602" s="403">
        <f>+Q480*11%</f>
        <v>226617.60000000001</v>
      </c>
    </row>
    <row r="603" spans="1:17" x14ac:dyDescent="0.35">
      <c r="A603" s="379" t="s">
        <v>896</v>
      </c>
      <c r="C603" s="175">
        <f>+$O$603*C496</f>
        <v>43290</v>
      </c>
      <c r="D603" s="175">
        <f t="shared" ref="D603:N603" si="399">+$O$603*D496</f>
        <v>0</v>
      </c>
      <c r="E603" s="175">
        <f t="shared" si="399"/>
        <v>43290</v>
      </c>
      <c r="F603" s="175">
        <f t="shared" si="399"/>
        <v>0</v>
      </c>
      <c r="G603" s="175">
        <f t="shared" si="399"/>
        <v>0</v>
      </c>
      <c r="H603" s="175">
        <f t="shared" si="399"/>
        <v>0</v>
      </c>
      <c r="I603" s="175">
        <f t="shared" si="399"/>
        <v>0</v>
      </c>
      <c r="J603" s="175">
        <f t="shared" si="399"/>
        <v>43290</v>
      </c>
      <c r="K603" s="175">
        <f t="shared" si="399"/>
        <v>0</v>
      </c>
      <c r="L603" s="175">
        <f t="shared" si="399"/>
        <v>0</v>
      </c>
      <c r="M603" s="175">
        <f t="shared" si="399"/>
        <v>0</v>
      </c>
      <c r="N603" s="175">
        <f t="shared" si="399"/>
        <v>0</v>
      </c>
      <c r="O603" s="403">
        <f>+Q483*100%</f>
        <v>129870</v>
      </c>
    </row>
    <row r="604" spans="1:17" x14ac:dyDescent="0.35">
      <c r="A604" s="379" t="s">
        <v>616</v>
      </c>
      <c r="C604" s="175">
        <f t="shared" ref="C604:N604" si="400">+$O$604*C497</f>
        <v>482157.36</v>
      </c>
      <c r="D604" s="175">
        <f t="shared" si="400"/>
        <v>559759.68000000005</v>
      </c>
      <c r="E604" s="175">
        <f t="shared" si="400"/>
        <v>961357.67999999993</v>
      </c>
      <c r="F604" s="175">
        <f t="shared" si="400"/>
        <v>600918.48</v>
      </c>
      <c r="G604" s="175">
        <f t="shared" si="400"/>
        <v>992526.48</v>
      </c>
      <c r="H604" s="175">
        <f t="shared" si="400"/>
        <v>1002516.48</v>
      </c>
      <c r="I604" s="175">
        <f t="shared" si="400"/>
        <v>584454.96</v>
      </c>
      <c r="J604" s="175">
        <f t="shared" si="400"/>
        <v>1110728.1599999999</v>
      </c>
      <c r="K604" s="175">
        <f t="shared" si="400"/>
        <v>926672.4</v>
      </c>
      <c r="L604" s="175">
        <f t="shared" si="400"/>
        <v>727351.92</v>
      </c>
      <c r="M604" s="175">
        <f t="shared" si="400"/>
        <v>580304.13396632404</v>
      </c>
      <c r="N604" s="175">
        <f t="shared" si="400"/>
        <v>506815.83752517396</v>
      </c>
      <c r="O604" s="403">
        <f>+Q484*72%</f>
        <v>9035563.5714914985</v>
      </c>
    </row>
    <row r="605" spans="1:17" x14ac:dyDescent="0.35">
      <c r="A605" s="379" t="s">
        <v>617</v>
      </c>
      <c r="C605" s="175">
        <f t="shared" ref="C605:N605" si="401">+$O$605*C497</f>
        <v>113842.70999999999</v>
      </c>
      <c r="D605" s="175">
        <f t="shared" si="401"/>
        <v>132165.48000000001</v>
      </c>
      <c r="E605" s="175">
        <f t="shared" si="401"/>
        <v>226987.23</v>
      </c>
      <c r="F605" s="175">
        <f t="shared" si="401"/>
        <v>141883.53</v>
      </c>
      <c r="G605" s="175">
        <f t="shared" si="401"/>
        <v>234346.53</v>
      </c>
      <c r="H605" s="175">
        <f t="shared" si="401"/>
        <v>236705.28</v>
      </c>
      <c r="I605" s="175">
        <f t="shared" si="401"/>
        <v>137996.31</v>
      </c>
      <c r="J605" s="175">
        <f t="shared" si="401"/>
        <v>262255.26</v>
      </c>
      <c r="K605" s="175">
        <f t="shared" si="401"/>
        <v>218797.65</v>
      </c>
      <c r="L605" s="175">
        <f t="shared" si="401"/>
        <v>171735.87</v>
      </c>
      <c r="M605" s="175">
        <f t="shared" si="401"/>
        <v>137016.25385315984</v>
      </c>
      <c r="N605" s="175">
        <f t="shared" si="401"/>
        <v>119664.85052677718</v>
      </c>
      <c r="O605" s="403">
        <f>+Q484*17%</f>
        <v>2133396.9543799371</v>
      </c>
    </row>
    <row r="606" spans="1:17" x14ac:dyDescent="0.35">
      <c r="A606" s="379" t="s">
        <v>618</v>
      </c>
      <c r="C606" s="175">
        <f t="shared" ref="C606:N606" si="402">+$O$606*C497</f>
        <v>73662.929999999993</v>
      </c>
      <c r="D606" s="175">
        <f t="shared" si="402"/>
        <v>85518.84</v>
      </c>
      <c r="E606" s="175">
        <f t="shared" si="402"/>
        <v>146874.09</v>
      </c>
      <c r="F606" s="175">
        <f t="shared" si="402"/>
        <v>91806.989999999991</v>
      </c>
      <c r="G606" s="175">
        <f t="shared" si="402"/>
        <v>151635.99</v>
      </c>
      <c r="H606" s="175">
        <f t="shared" si="402"/>
        <v>153162.23999999999</v>
      </c>
      <c r="I606" s="175">
        <f t="shared" si="402"/>
        <v>89291.73</v>
      </c>
      <c r="J606" s="175">
        <f t="shared" si="402"/>
        <v>169694.58</v>
      </c>
      <c r="K606" s="175">
        <f t="shared" si="402"/>
        <v>141574.95000000001</v>
      </c>
      <c r="L606" s="175">
        <f t="shared" si="402"/>
        <v>111123.20999999999</v>
      </c>
      <c r="M606" s="175">
        <f t="shared" si="402"/>
        <v>88657.576022632842</v>
      </c>
      <c r="N606" s="175">
        <f t="shared" si="402"/>
        <v>77430.197399679353</v>
      </c>
      <c r="O606" s="403">
        <f>+Q484*11%</f>
        <v>1380433.3234223123</v>
      </c>
    </row>
    <row r="607" spans="1:17" x14ac:dyDescent="0.35">
      <c r="A607" s="379" t="s">
        <v>619</v>
      </c>
      <c r="C607" s="175">
        <f t="shared" ref="C607:N607" si="403">+$O$607*C498</f>
        <v>2729772.9753915346</v>
      </c>
      <c r="D607" s="175">
        <f t="shared" si="403"/>
        <v>2978690.1455603694</v>
      </c>
      <c r="E607" s="175">
        <f t="shared" si="403"/>
        <v>8354597.3684293367</v>
      </c>
      <c r="F607" s="175">
        <f t="shared" si="403"/>
        <v>1742740.0333535983</v>
      </c>
      <c r="G607" s="175">
        <f t="shared" si="403"/>
        <v>1690925.6015291831</v>
      </c>
      <c r="H607" s="175">
        <f t="shared" si="403"/>
        <v>1423777.4275702764</v>
      </c>
      <c r="I607" s="175">
        <f t="shared" si="403"/>
        <v>1712115.1454079947</v>
      </c>
      <c r="J607" s="175">
        <f t="shared" si="403"/>
        <v>1629116.1018374038</v>
      </c>
      <c r="K607" s="175">
        <f t="shared" si="403"/>
        <v>2113357.1498754579</v>
      </c>
      <c r="L607" s="175">
        <f t="shared" si="403"/>
        <v>1588496.146024436</v>
      </c>
      <c r="M607" s="175">
        <f t="shared" si="403"/>
        <v>1399517.5468937117</v>
      </c>
      <c r="N607" s="175">
        <f t="shared" si="403"/>
        <v>1221801.0330024478</v>
      </c>
      <c r="O607" s="403">
        <f>+Q485*72%</f>
        <v>28584906.674875751</v>
      </c>
    </row>
    <row r="608" spans="1:17" x14ac:dyDescent="0.35">
      <c r="A608" s="379" t="s">
        <v>620</v>
      </c>
      <c r="C608" s="175">
        <f t="shared" ref="C608:N608" si="404">+$O$608*C498</f>
        <v>644529.73030077911</v>
      </c>
      <c r="D608" s="175">
        <f t="shared" si="404"/>
        <v>703301.83992397622</v>
      </c>
      <c r="E608" s="175">
        <f t="shared" si="404"/>
        <v>1972613.2675458158</v>
      </c>
      <c r="F608" s="175">
        <f t="shared" si="404"/>
        <v>411480.285652933</v>
      </c>
      <c r="G608" s="175">
        <f t="shared" si="404"/>
        <v>399246.3225832794</v>
      </c>
      <c r="H608" s="175">
        <f t="shared" si="404"/>
        <v>336169.67039853754</v>
      </c>
      <c r="I608" s="175">
        <f t="shared" si="404"/>
        <v>404249.40933244326</v>
      </c>
      <c r="J608" s="175">
        <f t="shared" si="404"/>
        <v>384652.41293383151</v>
      </c>
      <c r="K608" s="175">
        <f t="shared" si="404"/>
        <v>498987.10483170545</v>
      </c>
      <c r="L608" s="175">
        <f t="shared" si="404"/>
        <v>375061.59003354743</v>
      </c>
      <c r="M608" s="175">
        <f t="shared" si="404"/>
        <v>330441.64301657083</v>
      </c>
      <c r="N608" s="175">
        <f t="shared" si="404"/>
        <v>288480.79945891135</v>
      </c>
      <c r="O608" s="403">
        <f>+Q485*17%</f>
        <v>6749214.0760123311</v>
      </c>
    </row>
    <row r="609" spans="1:15" x14ac:dyDescent="0.35">
      <c r="A609" s="379" t="s">
        <v>621</v>
      </c>
      <c r="C609" s="175">
        <f t="shared" ref="C609:N609" si="405">+$O$609*C498</f>
        <v>417048.6490181511</v>
      </c>
      <c r="D609" s="175">
        <f t="shared" si="405"/>
        <v>455077.66112727864</v>
      </c>
      <c r="E609" s="175">
        <f t="shared" si="405"/>
        <v>1276396.8201767041</v>
      </c>
      <c r="F609" s="175">
        <f t="shared" si="405"/>
        <v>266251.94954013306</v>
      </c>
      <c r="G609" s="175">
        <f t="shared" si="405"/>
        <v>258335.85578918076</v>
      </c>
      <c r="H609" s="175">
        <f t="shared" si="405"/>
        <v>217521.55143434778</v>
      </c>
      <c r="I609" s="175">
        <f t="shared" si="405"/>
        <v>261573.14721511031</v>
      </c>
      <c r="J609" s="175">
        <f t="shared" si="405"/>
        <v>248892.73778071447</v>
      </c>
      <c r="K609" s="175">
        <f t="shared" si="405"/>
        <v>322874.00900875055</v>
      </c>
      <c r="L609" s="175">
        <f t="shared" si="405"/>
        <v>242686.91119817772</v>
      </c>
      <c r="M609" s="175">
        <f t="shared" si="405"/>
        <v>213815.18077542816</v>
      </c>
      <c r="N609" s="175">
        <f t="shared" si="405"/>
        <v>186664.04670870729</v>
      </c>
      <c r="O609" s="403">
        <f>+Q485*11%</f>
        <v>4367138.5197726842</v>
      </c>
    </row>
    <row r="610" spans="1:15" x14ac:dyDescent="0.35">
      <c r="A610" s="379" t="s">
        <v>897</v>
      </c>
      <c r="C610" s="175">
        <f>+$O$610*C498</f>
        <v>8929.5811474696893</v>
      </c>
      <c r="D610" s="175">
        <f t="shared" ref="D610:N610" si="406">+$O$610*D498</f>
        <v>9743.8342337368067</v>
      </c>
      <c r="E610" s="175">
        <f t="shared" si="406"/>
        <v>27329.399121597675</v>
      </c>
      <c r="F610" s="175">
        <f t="shared" si="406"/>
        <v>5700.8178654647727</v>
      </c>
      <c r="G610" s="175">
        <f t="shared" si="406"/>
        <v>5531.3234870834385</v>
      </c>
      <c r="H610" s="175">
        <f t="shared" si="406"/>
        <v>4657.4334899043697</v>
      </c>
      <c r="I610" s="175">
        <f t="shared" si="406"/>
        <v>5600.6383177486441</v>
      </c>
      <c r="J610" s="175">
        <f t="shared" si="406"/>
        <v>5329.1334338600263</v>
      </c>
      <c r="K610" s="175">
        <f t="shared" si="406"/>
        <v>6913.1734886090362</v>
      </c>
      <c r="L610" s="175">
        <f t="shared" si="406"/>
        <v>5196.2582113018198</v>
      </c>
      <c r="M610" s="175">
        <f t="shared" si="406"/>
        <v>4578.075032229608</v>
      </c>
      <c r="N610" s="175">
        <f t="shared" si="406"/>
        <v>3996.7321709941061</v>
      </c>
      <c r="O610" s="403">
        <f>+Q486*72%</f>
        <v>93506.4</v>
      </c>
    </row>
    <row r="611" spans="1:15" x14ac:dyDescent="0.35">
      <c r="A611" s="379" t="s">
        <v>898</v>
      </c>
      <c r="C611" s="175">
        <f>+$O$611*C498</f>
        <v>2108.3733264858988</v>
      </c>
      <c r="D611" s="175">
        <f t="shared" ref="D611:N611" si="407">+$O$611*D498</f>
        <v>2300.6275274100794</v>
      </c>
      <c r="E611" s="175">
        <f t="shared" si="407"/>
        <v>6452.7747925994518</v>
      </c>
      <c r="F611" s="175">
        <f t="shared" si="407"/>
        <v>1346.0264404569602</v>
      </c>
      <c r="G611" s="175">
        <f t="shared" si="407"/>
        <v>1306.0069344502565</v>
      </c>
      <c r="H611" s="175">
        <f t="shared" si="407"/>
        <v>1099.6717962274208</v>
      </c>
      <c r="I611" s="175">
        <f t="shared" si="407"/>
        <v>1322.3729361350968</v>
      </c>
      <c r="J611" s="175">
        <f t="shared" si="407"/>
        <v>1258.2676163280619</v>
      </c>
      <c r="K611" s="175">
        <f t="shared" si="407"/>
        <v>1632.2770736993559</v>
      </c>
      <c r="L611" s="175">
        <f t="shared" si="407"/>
        <v>1226.8942998907075</v>
      </c>
      <c r="M611" s="175">
        <f t="shared" si="407"/>
        <v>1080.9343826097688</v>
      </c>
      <c r="N611" s="175">
        <f t="shared" si="407"/>
        <v>943.67287370694191</v>
      </c>
      <c r="O611" s="403">
        <f>+Q486*17%</f>
        <v>22077.9</v>
      </c>
    </row>
    <row r="612" spans="1:15" x14ac:dyDescent="0.35">
      <c r="A612" s="379" t="s">
        <v>899</v>
      </c>
      <c r="C612" s="175">
        <f>+$O$612*C498</f>
        <v>1364.2415641967582</v>
      </c>
      <c r="D612" s="175">
        <f t="shared" ref="D612:N612" si="408">+$O$612*D498</f>
        <v>1488.6413412653455</v>
      </c>
      <c r="E612" s="175">
        <f t="shared" si="408"/>
        <v>4175.3248657996455</v>
      </c>
      <c r="F612" s="175">
        <f t="shared" si="408"/>
        <v>870.95828500156256</v>
      </c>
      <c r="G612" s="175">
        <f t="shared" si="408"/>
        <v>845.06331052663654</v>
      </c>
      <c r="H612" s="175">
        <f t="shared" si="408"/>
        <v>711.55233873538987</v>
      </c>
      <c r="I612" s="175">
        <f t="shared" si="408"/>
        <v>855.65307632270958</v>
      </c>
      <c r="J612" s="175">
        <f t="shared" si="408"/>
        <v>814.17316350639305</v>
      </c>
      <c r="K612" s="175">
        <f t="shared" si="408"/>
        <v>1056.1792829819362</v>
      </c>
      <c r="L612" s="175">
        <f t="shared" si="408"/>
        <v>793.8727822822226</v>
      </c>
      <c r="M612" s="175">
        <f t="shared" si="408"/>
        <v>699.42812992396796</v>
      </c>
      <c r="N612" s="175">
        <f t="shared" si="408"/>
        <v>610.61185945743296</v>
      </c>
      <c r="O612" s="403">
        <f>+Q486*11%</f>
        <v>14285.7</v>
      </c>
    </row>
    <row r="613" spans="1:15" x14ac:dyDescent="0.35">
      <c r="A613" s="379" t="s">
        <v>623</v>
      </c>
      <c r="C613" s="175">
        <f t="shared" ref="C613:N613" si="409">+$O$613*C500</f>
        <v>31168.799999999999</v>
      </c>
      <c r="D613" s="175">
        <f t="shared" si="409"/>
        <v>0</v>
      </c>
      <c r="E613" s="175">
        <f t="shared" si="409"/>
        <v>342856.8</v>
      </c>
      <c r="F613" s="175">
        <f t="shared" si="409"/>
        <v>31168.799999999999</v>
      </c>
      <c r="G613" s="175">
        <f t="shared" si="409"/>
        <v>93506.4</v>
      </c>
      <c r="H613" s="175">
        <f t="shared" si="409"/>
        <v>62337.599999999999</v>
      </c>
      <c r="I613" s="175">
        <f t="shared" si="409"/>
        <v>0</v>
      </c>
      <c r="J613" s="175">
        <f t="shared" si="409"/>
        <v>124675.2</v>
      </c>
      <c r="K613" s="175">
        <f t="shared" si="409"/>
        <v>93506.4</v>
      </c>
      <c r="L613" s="175">
        <f t="shared" si="409"/>
        <v>0</v>
      </c>
      <c r="M613" s="175">
        <f t="shared" si="409"/>
        <v>93644.442623562543</v>
      </c>
      <c r="N613" s="175">
        <f t="shared" si="409"/>
        <v>80747.303819119799</v>
      </c>
      <c r="O613" s="403">
        <f>+Q487*72%</f>
        <v>953611.74644268246</v>
      </c>
    </row>
    <row r="614" spans="1:15" x14ac:dyDescent="0.35">
      <c r="A614" s="379" t="s">
        <v>624</v>
      </c>
      <c r="C614" s="175">
        <f t="shared" ref="C614:N614" si="410">+$O$614*C500</f>
        <v>7359.3</v>
      </c>
      <c r="D614" s="175">
        <f t="shared" si="410"/>
        <v>0</v>
      </c>
      <c r="E614" s="175">
        <f t="shared" si="410"/>
        <v>80952.299999999988</v>
      </c>
      <c r="F614" s="175">
        <f t="shared" si="410"/>
        <v>7359.3</v>
      </c>
      <c r="G614" s="175">
        <f t="shared" si="410"/>
        <v>22077.9</v>
      </c>
      <c r="H614" s="175">
        <f t="shared" si="410"/>
        <v>14718.6</v>
      </c>
      <c r="I614" s="175">
        <f t="shared" si="410"/>
        <v>0</v>
      </c>
      <c r="J614" s="175">
        <f t="shared" si="410"/>
        <v>29437.200000000001</v>
      </c>
      <c r="K614" s="175">
        <f t="shared" si="410"/>
        <v>22077.9</v>
      </c>
      <c r="L614" s="175">
        <f t="shared" si="410"/>
        <v>0</v>
      </c>
      <c r="M614" s="175">
        <f t="shared" si="410"/>
        <v>22110.493397230046</v>
      </c>
      <c r="N614" s="175">
        <f t="shared" si="410"/>
        <v>19065.335623958843</v>
      </c>
      <c r="O614" s="403">
        <f>+Q487*17%</f>
        <v>225158.32902118893</v>
      </c>
    </row>
    <row r="615" spans="1:15" x14ac:dyDescent="0.35">
      <c r="A615" s="379" t="s">
        <v>622</v>
      </c>
      <c r="C615" s="175">
        <f t="shared" ref="C615:N615" si="411">+$O$615*C500</f>
        <v>4761.8999999999996</v>
      </c>
      <c r="D615" s="175">
        <f t="shared" si="411"/>
        <v>0</v>
      </c>
      <c r="E615" s="175">
        <f t="shared" si="411"/>
        <v>52380.899999999994</v>
      </c>
      <c r="F615" s="175">
        <f t="shared" si="411"/>
        <v>4761.8999999999996</v>
      </c>
      <c r="G615" s="175">
        <f t="shared" si="411"/>
        <v>14285.699999999999</v>
      </c>
      <c r="H615" s="175">
        <f t="shared" si="411"/>
        <v>9523.7999999999993</v>
      </c>
      <c r="I615" s="175">
        <f t="shared" si="411"/>
        <v>0</v>
      </c>
      <c r="J615" s="175">
        <f t="shared" si="411"/>
        <v>19047.599999999999</v>
      </c>
      <c r="K615" s="175">
        <f t="shared" si="411"/>
        <v>14285.699999999999</v>
      </c>
      <c r="L615" s="175">
        <f t="shared" si="411"/>
        <v>0</v>
      </c>
      <c r="M615" s="175">
        <f t="shared" si="411"/>
        <v>14306.789845266499</v>
      </c>
      <c r="N615" s="175">
        <f t="shared" si="411"/>
        <v>12336.393639032191</v>
      </c>
      <c r="O615" s="403">
        <f>+Q487*11%</f>
        <v>145690.6834842987</v>
      </c>
    </row>
    <row r="618" spans="1:15" x14ac:dyDescent="0.35">
      <c r="A618" s="380" t="s">
        <v>625</v>
      </c>
      <c r="C618" s="172">
        <f t="shared" ref="C618:N618" si="412">+$O$618*C504</f>
        <v>5774146.5599999996</v>
      </c>
      <c r="D618" s="172">
        <f t="shared" si="412"/>
        <v>7338239.9999999981</v>
      </c>
      <c r="E618" s="172">
        <f t="shared" si="412"/>
        <v>22299863.039999999</v>
      </c>
      <c r="F618" s="172">
        <f t="shared" si="412"/>
        <v>2029547.5199999998</v>
      </c>
      <c r="G618" s="172">
        <f t="shared" si="412"/>
        <v>1715051.5199999998</v>
      </c>
      <c r="H618" s="172">
        <f t="shared" si="412"/>
        <v>1643765.76</v>
      </c>
      <c r="I618" s="172">
        <f t="shared" si="412"/>
        <v>1455068.1599999997</v>
      </c>
      <c r="J618" s="172">
        <f t="shared" si="412"/>
        <v>1291530.2399999998</v>
      </c>
      <c r="K618" s="172">
        <f t="shared" si="412"/>
        <v>1492807.6799999997</v>
      </c>
      <c r="L618" s="172">
        <f t="shared" si="412"/>
        <v>1044126.72</v>
      </c>
      <c r="M618" s="172">
        <f t="shared" si="412"/>
        <v>646623.12959999987</v>
      </c>
      <c r="N618" s="172">
        <f t="shared" si="412"/>
        <v>563915.5199999999</v>
      </c>
      <c r="O618" s="403">
        <f>+Q502*72%</f>
        <v>47294685.849599995</v>
      </c>
    </row>
    <row r="619" spans="1:15" x14ac:dyDescent="0.35">
      <c r="A619" s="380" t="s">
        <v>626</v>
      </c>
      <c r="C619" s="172">
        <f t="shared" ref="C619:N619" si="413">+$O$619*C504</f>
        <v>1363340.1600000001</v>
      </c>
      <c r="D619" s="172">
        <f t="shared" si="413"/>
        <v>1732639.9999999998</v>
      </c>
      <c r="E619" s="172">
        <f t="shared" si="413"/>
        <v>5265245.4400000004</v>
      </c>
      <c r="F619" s="172">
        <f t="shared" si="413"/>
        <v>479198.71999999997</v>
      </c>
      <c r="G619" s="172">
        <f t="shared" si="413"/>
        <v>404942.72000000003</v>
      </c>
      <c r="H619" s="172">
        <f t="shared" si="413"/>
        <v>388111.36000000004</v>
      </c>
      <c r="I619" s="172">
        <f t="shared" si="413"/>
        <v>343557.76</v>
      </c>
      <c r="J619" s="172">
        <f t="shared" si="413"/>
        <v>304944.64000000001</v>
      </c>
      <c r="K619" s="172">
        <f t="shared" si="413"/>
        <v>352468.47999999998</v>
      </c>
      <c r="L619" s="172">
        <f t="shared" si="413"/>
        <v>246529.92000000001</v>
      </c>
      <c r="M619" s="172">
        <f t="shared" si="413"/>
        <v>152674.9056</v>
      </c>
      <c r="N619" s="172">
        <f t="shared" si="413"/>
        <v>133146.72</v>
      </c>
      <c r="O619" s="403">
        <f>+Q502*17%</f>
        <v>11166800.8256</v>
      </c>
    </row>
    <row r="620" spans="1:15" x14ac:dyDescent="0.35">
      <c r="A620" s="380" t="s">
        <v>627</v>
      </c>
      <c r="C620" s="172">
        <f t="shared" ref="C620:N620" si="414">+$O$620*C504</f>
        <v>882161.28</v>
      </c>
      <c r="D620" s="172">
        <f t="shared" si="414"/>
        <v>1121120</v>
      </c>
      <c r="E620" s="172">
        <f t="shared" si="414"/>
        <v>3406923.52</v>
      </c>
      <c r="F620" s="172">
        <f t="shared" si="414"/>
        <v>310069.76000000001</v>
      </c>
      <c r="G620" s="172">
        <f t="shared" si="414"/>
        <v>262021.76000000001</v>
      </c>
      <c r="H620" s="172">
        <f t="shared" si="414"/>
        <v>251130.88000000003</v>
      </c>
      <c r="I620" s="172">
        <f t="shared" si="414"/>
        <v>222302.07999999999</v>
      </c>
      <c r="J620" s="172">
        <f t="shared" si="414"/>
        <v>197317.12</v>
      </c>
      <c r="K620" s="172">
        <f t="shared" si="414"/>
        <v>228067.84</v>
      </c>
      <c r="L620" s="172">
        <f t="shared" si="414"/>
        <v>159519.36000000002</v>
      </c>
      <c r="M620" s="172">
        <f t="shared" si="414"/>
        <v>98789.644799999995</v>
      </c>
      <c r="N620" s="172">
        <f t="shared" si="414"/>
        <v>86153.76</v>
      </c>
      <c r="O620" s="403">
        <f>+Q502*11%</f>
        <v>7225577.0048000002</v>
      </c>
    </row>
    <row r="623" spans="1:15" x14ac:dyDescent="0.35">
      <c r="A623" s="191" t="s">
        <v>193</v>
      </c>
      <c r="C623" s="172">
        <f t="shared" ref="C623:N623" si="415">SUM(C624:C633)</f>
        <v>11284387.92</v>
      </c>
      <c r="D623" s="172">
        <f t="shared" si="415"/>
        <v>12670418.800000001</v>
      </c>
      <c r="E623" s="172">
        <f t="shared" si="415"/>
        <v>24423476.48</v>
      </c>
      <c r="F623" s="172">
        <f t="shared" si="415"/>
        <v>6902772.2399999993</v>
      </c>
      <c r="G623" s="172">
        <f t="shared" si="415"/>
        <v>7886062.0800000001</v>
      </c>
      <c r="H623" s="172">
        <f t="shared" si="415"/>
        <v>7790518.3200000003</v>
      </c>
      <c r="I623" s="172">
        <f t="shared" si="415"/>
        <v>7439368.5600000005</v>
      </c>
      <c r="J623" s="172">
        <f t="shared" si="415"/>
        <v>8172105.7599999988</v>
      </c>
      <c r="K623" s="172">
        <f t="shared" si="415"/>
        <v>8497753.6799999997</v>
      </c>
      <c r="L623" s="174">
        <f t="shared" si="415"/>
        <v>7931072.2400000002</v>
      </c>
      <c r="M623" s="174">
        <f t="shared" si="415"/>
        <v>6672704.2399999993</v>
      </c>
      <c r="N623" s="173">
        <f t="shared" si="415"/>
        <v>4345674.8703198191</v>
      </c>
      <c r="O623" s="172">
        <f>SUM(O624:O635)</f>
        <v>115333666.99598719</v>
      </c>
    </row>
    <row r="624" spans="1:15" x14ac:dyDescent="0.35">
      <c r="A624" s="379" t="s">
        <v>628</v>
      </c>
      <c r="C624" s="175">
        <f t="shared" ref="C624:N624" si="416">+$O$624*C513</f>
        <v>5476667.04</v>
      </c>
      <c r="D624" s="175">
        <f t="shared" si="416"/>
        <v>6098582.8799999999</v>
      </c>
      <c r="E624" s="175">
        <f t="shared" si="416"/>
        <v>12561007.68</v>
      </c>
      <c r="F624" s="175">
        <f t="shared" si="416"/>
        <v>2794390.56</v>
      </c>
      <c r="G624" s="175">
        <f t="shared" si="416"/>
        <v>3016503.36</v>
      </c>
      <c r="H624" s="175">
        <f t="shared" si="416"/>
        <v>3077848.8</v>
      </c>
      <c r="I624" s="175">
        <f t="shared" si="416"/>
        <v>2921312.16</v>
      </c>
      <c r="J624" s="175">
        <f t="shared" si="416"/>
        <v>3096887.04</v>
      </c>
      <c r="K624" s="175">
        <f t="shared" si="416"/>
        <v>3276692.6399999997</v>
      </c>
      <c r="L624" s="175">
        <f t="shared" si="416"/>
        <v>2921312.16</v>
      </c>
      <c r="M624" s="175">
        <f t="shared" si="416"/>
        <v>2535665.7599999998</v>
      </c>
      <c r="N624" s="175">
        <f t="shared" si="416"/>
        <v>1498283.2479085019</v>
      </c>
      <c r="O624" s="403">
        <f>+Q507*72%</f>
        <v>49275153.327908501</v>
      </c>
    </row>
    <row r="625" spans="1:17" x14ac:dyDescent="0.35">
      <c r="A625" s="379" t="s">
        <v>629</v>
      </c>
      <c r="C625" s="175">
        <f t="shared" ref="C625:N625" si="417">+$O$625*C513</f>
        <v>1293101.9400000002</v>
      </c>
      <c r="D625" s="175">
        <f t="shared" si="417"/>
        <v>1439943.1800000002</v>
      </c>
      <c r="E625" s="175">
        <f t="shared" si="417"/>
        <v>2965793.4800000004</v>
      </c>
      <c r="F625" s="175">
        <f t="shared" si="417"/>
        <v>659786.66</v>
      </c>
      <c r="G625" s="175">
        <f t="shared" si="417"/>
        <v>712229.96000000008</v>
      </c>
      <c r="H625" s="175">
        <f t="shared" si="417"/>
        <v>726714.30000000016</v>
      </c>
      <c r="I625" s="175">
        <f t="shared" si="417"/>
        <v>689754.26000000013</v>
      </c>
      <c r="J625" s="175">
        <f t="shared" si="417"/>
        <v>731209.44000000006</v>
      </c>
      <c r="K625" s="175">
        <f t="shared" si="417"/>
        <v>773663.54000000015</v>
      </c>
      <c r="L625" s="175">
        <f>+$O$625*L513</f>
        <v>689754.26000000013</v>
      </c>
      <c r="M625" s="175">
        <f t="shared" si="417"/>
        <v>598698.8600000001</v>
      </c>
      <c r="N625" s="175">
        <f t="shared" si="417"/>
        <v>353761.32242284075</v>
      </c>
      <c r="O625" s="403">
        <f>+Q507*17%</f>
        <v>11634411.202422842</v>
      </c>
    </row>
    <row r="626" spans="1:17" x14ac:dyDescent="0.35">
      <c r="A626" s="379" t="s">
        <v>630</v>
      </c>
      <c r="C626" s="175">
        <f t="shared" ref="C626:N626" si="418">+$O$626*C513</f>
        <v>836713.02000000014</v>
      </c>
      <c r="D626" s="175">
        <f t="shared" si="418"/>
        <v>931727.94000000006</v>
      </c>
      <c r="E626" s="175">
        <f t="shared" si="418"/>
        <v>1919042.84</v>
      </c>
      <c r="F626" s="175">
        <f t="shared" si="418"/>
        <v>426920.78</v>
      </c>
      <c r="G626" s="175">
        <f t="shared" si="418"/>
        <v>460854.68000000005</v>
      </c>
      <c r="H626" s="175">
        <f t="shared" si="418"/>
        <v>470226.9</v>
      </c>
      <c r="I626" s="175">
        <f t="shared" si="418"/>
        <v>446311.58</v>
      </c>
      <c r="J626" s="175">
        <f t="shared" si="418"/>
        <v>473135.52</v>
      </c>
      <c r="K626" s="175">
        <f t="shared" si="418"/>
        <v>500605.82000000007</v>
      </c>
      <c r="L626" s="175">
        <f t="shared" si="418"/>
        <v>446311.58</v>
      </c>
      <c r="M626" s="175">
        <f t="shared" si="418"/>
        <v>387393.38</v>
      </c>
      <c r="N626" s="175">
        <f t="shared" si="418"/>
        <v>228904.38509713224</v>
      </c>
      <c r="O626" s="403">
        <f>+Q507*11%</f>
        <v>7528148.425097133</v>
      </c>
    </row>
    <row r="627" spans="1:17" x14ac:dyDescent="0.35">
      <c r="A627" s="379" t="s">
        <v>631</v>
      </c>
      <c r="C627" s="175">
        <f t="shared" ref="C627:N627" si="419">+$O$627*C514</f>
        <v>2449586.88</v>
      </c>
      <c r="D627" s="175">
        <f t="shared" si="419"/>
        <v>2737275.84</v>
      </c>
      <c r="E627" s="175">
        <f t="shared" si="419"/>
        <v>4573408.3199999994</v>
      </c>
      <c r="F627" s="175">
        <f t="shared" si="419"/>
        <v>1958823.3599999996</v>
      </c>
      <c r="G627" s="175">
        <f t="shared" si="419"/>
        <v>2449586.88</v>
      </c>
      <c r="H627" s="175">
        <f t="shared" si="419"/>
        <v>2352280.3199999998</v>
      </c>
      <c r="I627" s="175">
        <f t="shared" si="419"/>
        <v>2208435.84</v>
      </c>
      <c r="J627" s="175">
        <f t="shared" si="419"/>
        <v>2593431.36</v>
      </c>
      <c r="K627" s="175">
        <f t="shared" si="419"/>
        <v>2618815.6799999997</v>
      </c>
      <c r="L627" s="175">
        <f t="shared" si="419"/>
        <v>2644200</v>
      </c>
      <c r="M627" s="175">
        <f t="shared" si="419"/>
        <v>2123821.44</v>
      </c>
      <c r="N627" s="175">
        <f t="shared" si="419"/>
        <v>1493377.3587507864</v>
      </c>
      <c r="O627" s="403">
        <f>+Q508*72%</f>
        <v>30203043.278750781</v>
      </c>
    </row>
    <row r="628" spans="1:17" x14ac:dyDescent="0.35">
      <c r="A628" s="379" t="s">
        <v>632</v>
      </c>
      <c r="C628" s="175">
        <f t="shared" ref="C628:N628" si="420">+$O$628*C514</f>
        <v>578374.68000000005</v>
      </c>
      <c r="D628" s="175">
        <f t="shared" si="420"/>
        <v>646301.24000000011</v>
      </c>
      <c r="E628" s="175">
        <f t="shared" si="420"/>
        <v>1079832.52</v>
      </c>
      <c r="F628" s="175">
        <f t="shared" si="420"/>
        <v>462499.96</v>
      </c>
      <c r="G628" s="175">
        <f t="shared" si="420"/>
        <v>578374.68000000005</v>
      </c>
      <c r="H628" s="175">
        <f t="shared" si="420"/>
        <v>555399.52</v>
      </c>
      <c r="I628" s="175">
        <f t="shared" si="420"/>
        <v>521436.24000000005</v>
      </c>
      <c r="J628" s="175">
        <f t="shared" si="420"/>
        <v>612337.96000000008</v>
      </c>
      <c r="K628" s="175">
        <f t="shared" si="420"/>
        <v>618331.48</v>
      </c>
      <c r="L628" s="175">
        <f t="shared" si="420"/>
        <v>624325.00000000012</v>
      </c>
      <c r="M628" s="175">
        <f t="shared" si="420"/>
        <v>501457.84</v>
      </c>
      <c r="N628" s="175">
        <f t="shared" si="420"/>
        <v>352602.9874828246</v>
      </c>
      <c r="O628" s="403">
        <f>+Q508*17%</f>
        <v>7131274.1074828245</v>
      </c>
    </row>
    <row r="629" spans="1:17" x14ac:dyDescent="0.35">
      <c r="A629" s="379" t="s">
        <v>633</v>
      </c>
      <c r="C629" s="175">
        <f t="shared" ref="C629:N629" si="421">+$O$629*C514</f>
        <v>374242.44000000006</v>
      </c>
      <c r="D629" s="175">
        <f t="shared" si="421"/>
        <v>418194.92000000004</v>
      </c>
      <c r="E629" s="175">
        <f t="shared" si="421"/>
        <v>698715.16000000015</v>
      </c>
      <c r="F629" s="175">
        <f t="shared" si="421"/>
        <v>299264.68</v>
      </c>
      <c r="G629" s="175">
        <f t="shared" si="421"/>
        <v>374242.44000000006</v>
      </c>
      <c r="H629" s="175">
        <f t="shared" si="421"/>
        <v>359376.16000000003</v>
      </c>
      <c r="I629" s="175">
        <f t="shared" si="421"/>
        <v>337399.92000000004</v>
      </c>
      <c r="J629" s="175">
        <f t="shared" si="421"/>
        <v>396218.68000000005</v>
      </c>
      <c r="K629" s="175">
        <f t="shared" si="421"/>
        <v>400096.84</v>
      </c>
      <c r="L629" s="175">
        <f t="shared" si="421"/>
        <v>403975.00000000006</v>
      </c>
      <c r="M629" s="175">
        <f t="shared" si="421"/>
        <v>324472.72000000003</v>
      </c>
      <c r="N629" s="175">
        <f t="shared" si="421"/>
        <v>228154.8742535924</v>
      </c>
      <c r="O629" s="403">
        <f>+Q508*11%</f>
        <v>4614353.8342535924</v>
      </c>
    </row>
    <row r="630" spans="1:17" x14ac:dyDescent="0.35">
      <c r="A630" s="379" t="s">
        <v>634</v>
      </c>
      <c r="C630" s="175">
        <f t="shared" ref="C630:N630" si="422">+$O$630*C515</f>
        <v>12692.16</v>
      </c>
      <c r="D630" s="175">
        <f t="shared" si="422"/>
        <v>12692.16</v>
      </c>
      <c r="E630" s="175">
        <f t="shared" si="422"/>
        <v>42307.199999999997</v>
      </c>
      <c r="F630" s="175">
        <f t="shared" si="422"/>
        <v>12692.16</v>
      </c>
      <c r="G630" s="175">
        <f t="shared" si="422"/>
        <v>16922.879999999997</v>
      </c>
      <c r="H630" s="175">
        <f t="shared" si="422"/>
        <v>8461.4399999999987</v>
      </c>
      <c r="I630" s="175">
        <f t="shared" si="422"/>
        <v>4230.7199999999993</v>
      </c>
      <c r="J630" s="175">
        <f t="shared" si="422"/>
        <v>16922.879999999997</v>
      </c>
      <c r="K630" s="175">
        <f t="shared" si="422"/>
        <v>12692.16</v>
      </c>
      <c r="L630" s="175">
        <f t="shared" si="422"/>
        <v>16922.879999999997</v>
      </c>
      <c r="M630" s="175">
        <f t="shared" si="422"/>
        <v>16922.879999999997</v>
      </c>
      <c r="N630" s="175">
        <f t="shared" si="422"/>
        <v>1108.0387354113318</v>
      </c>
      <c r="O630" s="403">
        <f>+Q509*72%</f>
        <v>174567.55873541132</v>
      </c>
    </row>
    <row r="631" spans="1:17" x14ac:dyDescent="0.35">
      <c r="A631" s="379" t="s">
        <v>635</v>
      </c>
      <c r="C631" s="175">
        <f t="shared" ref="C631:N631" si="423">+$O$631*C515</f>
        <v>2996.76</v>
      </c>
      <c r="D631" s="175">
        <f t="shared" si="423"/>
        <v>2996.76</v>
      </c>
      <c r="E631" s="175">
        <f t="shared" si="423"/>
        <v>9989.2000000000007</v>
      </c>
      <c r="F631" s="175">
        <f t="shared" si="423"/>
        <v>2996.76</v>
      </c>
      <c r="G631" s="175">
        <f t="shared" si="423"/>
        <v>3995.6800000000003</v>
      </c>
      <c r="H631" s="175">
        <f t="shared" si="423"/>
        <v>1997.8400000000001</v>
      </c>
      <c r="I631" s="175">
        <f t="shared" si="423"/>
        <v>998.92000000000007</v>
      </c>
      <c r="J631" s="175">
        <f t="shared" si="423"/>
        <v>3995.6800000000003</v>
      </c>
      <c r="K631" s="175">
        <f t="shared" si="423"/>
        <v>2996.76</v>
      </c>
      <c r="L631" s="175">
        <f t="shared" si="423"/>
        <v>3995.6800000000003</v>
      </c>
      <c r="M631" s="175">
        <f t="shared" si="423"/>
        <v>3995.6800000000003</v>
      </c>
      <c r="N631" s="175">
        <f t="shared" si="423"/>
        <v>261.62025697212005</v>
      </c>
      <c r="O631" s="403">
        <f>+Q509*17%</f>
        <v>41217.340256972122</v>
      </c>
    </row>
    <row r="632" spans="1:17" x14ac:dyDescent="0.35">
      <c r="A632" s="379" t="s">
        <v>636</v>
      </c>
      <c r="C632" s="175">
        <f t="shared" ref="C632:N632" si="424">+$O$632*C515</f>
        <v>1939.0799999999997</v>
      </c>
      <c r="D632" s="175">
        <f t="shared" si="424"/>
        <v>1939.0799999999997</v>
      </c>
      <c r="E632" s="175">
        <f t="shared" si="424"/>
        <v>6463.5999999999995</v>
      </c>
      <c r="F632" s="175">
        <f t="shared" si="424"/>
        <v>1939.0799999999997</v>
      </c>
      <c r="G632" s="175">
        <f t="shared" si="424"/>
        <v>2585.4399999999996</v>
      </c>
      <c r="H632" s="175">
        <f t="shared" si="424"/>
        <v>1292.7199999999998</v>
      </c>
      <c r="I632" s="175">
        <f t="shared" si="424"/>
        <v>646.3599999999999</v>
      </c>
      <c r="J632" s="175">
        <f t="shared" si="424"/>
        <v>2585.4399999999996</v>
      </c>
      <c r="K632" s="175">
        <f t="shared" si="424"/>
        <v>1939.0799999999997</v>
      </c>
      <c r="L632" s="175">
        <f t="shared" si="424"/>
        <v>2585.4399999999996</v>
      </c>
      <c r="M632" s="175">
        <f t="shared" si="424"/>
        <v>2585.4399999999996</v>
      </c>
      <c r="N632" s="175">
        <f t="shared" si="424"/>
        <v>169.28369568784234</v>
      </c>
      <c r="O632" s="403">
        <f>+Q509*11%</f>
        <v>26670.04369568784</v>
      </c>
    </row>
    <row r="633" spans="1:17" x14ac:dyDescent="0.35">
      <c r="A633" s="379" t="s">
        <v>637</v>
      </c>
      <c r="C633" s="175">
        <f t="shared" ref="C633:N633" si="425">+$O$633*C516</f>
        <v>258073.92</v>
      </c>
      <c r="D633" s="175">
        <f t="shared" si="425"/>
        <v>380764.8</v>
      </c>
      <c r="E633" s="175">
        <f t="shared" si="425"/>
        <v>566916.48</v>
      </c>
      <c r="F633" s="175">
        <f t="shared" si="425"/>
        <v>283458.24</v>
      </c>
      <c r="G633" s="175">
        <f t="shared" si="425"/>
        <v>270766.08000000002</v>
      </c>
      <c r="H633" s="175">
        <f t="shared" si="425"/>
        <v>236920.32000000001</v>
      </c>
      <c r="I633" s="175">
        <f t="shared" si="425"/>
        <v>308842.56000000006</v>
      </c>
      <c r="J633" s="175">
        <f t="shared" si="425"/>
        <v>245381.76000000004</v>
      </c>
      <c r="K633" s="175">
        <f t="shared" si="425"/>
        <v>291919.68000000005</v>
      </c>
      <c r="L633" s="175">
        <f t="shared" si="425"/>
        <v>177690.24000000002</v>
      </c>
      <c r="M633" s="175">
        <f t="shared" si="425"/>
        <v>177690.24000000002</v>
      </c>
      <c r="N633" s="175">
        <f t="shared" si="425"/>
        <v>189051.75171607023</v>
      </c>
      <c r="O633" s="403">
        <f>+Q510*72%</f>
        <v>3387476.0717160706</v>
      </c>
    </row>
    <row r="634" spans="1:17" x14ac:dyDescent="0.35">
      <c r="A634" s="379" t="s">
        <v>638</v>
      </c>
      <c r="C634" s="175">
        <f t="shared" ref="C634:N634" si="426">+$O$634*C516</f>
        <v>60934.12000000001</v>
      </c>
      <c r="D634" s="175">
        <f t="shared" si="426"/>
        <v>89902.800000000017</v>
      </c>
      <c r="E634" s="175">
        <f t="shared" si="426"/>
        <v>133855.28000000003</v>
      </c>
      <c r="F634" s="175">
        <f t="shared" si="426"/>
        <v>66927.640000000014</v>
      </c>
      <c r="G634" s="175">
        <f t="shared" si="426"/>
        <v>63930.880000000012</v>
      </c>
      <c r="H634" s="175">
        <f t="shared" si="426"/>
        <v>55939.520000000004</v>
      </c>
      <c r="I634" s="175">
        <f t="shared" si="426"/>
        <v>72921.160000000018</v>
      </c>
      <c r="J634" s="175">
        <f t="shared" si="426"/>
        <v>57937.360000000015</v>
      </c>
      <c r="K634" s="175">
        <f t="shared" si="426"/>
        <v>68925.48000000001</v>
      </c>
      <c r="L634" s="175">
        <f t="shared" si="426"/>
        <v>41954.640000000007</v>
      </c>
      <c r="M634" s="175">
        <f t="shared" si="426"/>
        <v>41954.640000000007</v>
      </c>
      <c r="N634" s="175">
        <f t="shared" si="426"/>
        <v>44637.219155183251</v>
      </c>
      <c r="O634" s="403">
        <f>+Q510*17%</f>
        <v>799820.73915518343</v>
      </c>
    </row>
    <row r="635" spans="1:17" x14ac:dyDescent="0.35">
      <c r="A635" s="379" t="s">
        <v>639</v>
      </c>
      <c r="C635" s="175">
        <f t="shared" ref="C635:N635" si="427">+$O$635*C516</f>
        <v>39427.960000000006</v>
      </c>
      <c r="D635" s="175">
        <f t="shared" si="427"/>
        <v>58172.4</v>
      </c>
      <c r="E635" s="175">
        <f t="shared" si="427"/>
        <v>86612.24</v>
      </c>
      <c r="F635" s="175">
        <f t="shared" si="427"/>
        <v>43306.12</v>
      </c>
      <c r="G635" s="175">
        <f t="shared" si="427"/>
        <v>41367.040000000001</v>
      </c>
      <c r="H635" s="175">
        <f t="shared" si="427"/>
        <v>36196.160000000003</v>
      </c>
      <c r="I635" s="175">
        <f t="shared" si="427"/>
        <v>47184.280000000006</v>
      </c>
      <c r="J635" s="175">
        <f t="shared" si="427"/>
        <v>37488.880000000005</v>
      </c>
      <c r="K635" s="175">
        <f t="shared" si="427"/>
        <v>44598.840000000004</v>
      </c>
      <c r="L635" s="175">
        <f t="shared" si="427"/>
        <v>27147.120000000003</v>
      </c>
      <c r="M635" s="175">
        <f t="shared" si="427"/>
        <v>27147.120000000003</v>
      </c>
      <c r="N635" s="175">
        <f t="shared" si="427"/>
        <v>28882.906512177393</v>
      </c>
      <c r="O635" s="403">
        <f>+Q510*11%</f>
        <v>517531.06651217747</v>
      </c>
    </row>
    <row r="639" spans="1:17" x14ac:dyDescent="0.35">
      <c r="A639" s="191" t="s">
        <v>200</v>
      </c>
      <c r="C639" s="172">
        <f t="shared" ref="C639:O639" si="428">SUM(C640:C649)</f>
        <v>1122000</v>
      </c>
      <c r="D639" s="172">
        <f t="shared" si="428"/>
        <v>2505119.9999999995</v>
      </c>
      <c r="E639" s="172">
        <f t="shared" si="428"/>
        <v>4489020</v>
      </c>
      <c r="F639" s="172">
        <f t="shared" si="428"/>
        <v>32344199.999999996</v>
      </c>
      <c r="G639" s="172">
        <f t="shared" si="428"/>
        <v>3716880</v>
      </c>
      <c r="H639" s="172">
        <f t="shared" si="428"/>
        <v>2217479.9999999995</v>
      </c>
      <c r="I639" s="172">
        <f t="shared" si="428"/>
        <v>3995340</v>
      </c>
      <c r="J639" s="172">
        <f t="shared" si="428"/>
        <v>3312959.9999999995</v>
      </c>
      <c r="K639" s="172">
        <f t="shared" si="428"/>
        <v>2980440</v>
      </c>
      <c r="L639" s="172">
        <f t="shared" si="428"/>
        <v>2675460</v>
      </c>
      <c r="M639" s="172">
        <f t="shared" si="428"/>
        <v>2610147.136633663</v>
      </c>
      <c r="N639" s="172">
        <f t="shared" si="428"/>
        <v>1894910.6011435394</v>
      </c>
      <c r="O639" s="172">
        <f t="shared" si="428"/>
        <v>63863957.737777203</v>
      </c>
    </row>
    <row r="640" spans="1:17" x14ac:dyDescent="0.35">
      <c r="A640" s="379" t="s">
        <v>640</v>
      </c>
      <c r="C640" s="175">
        <f t="shared" ref="C640:N640" si="429">+$O$640*C528</f>
        <v>0</v>
      </c>
      <c r="D640" s="175">
        <f t="shared" si="429"/>
        <v>724118.39999999991</v>
      </c>
      <c r="E640" s="175">
        <f t="shared" si="429"/>
        <v>362059.19999999995</v>
      </c>
      <c r="F640" s="175">
        <f t="shared" si="429"/>
        <v>1810295.9999999998</v>
      </c>
      <c r="G640" s="175">
        <f t="shared" si="429"/>
        <v>1448236.7999999998</v>
      </c>
      <c r="H640" s="175">
        <f t="shared" si="429"/>
        <v>724118.39999999991</v>
      </c>
      <c r="I640" s="175">
        <f t="shared" si="429"/>
        <v>1810295.9999999998</v>
      </c>
      <c r="J640" s="175">
        <f t="shared" si="429"/>
        <v>1448236.7999999998</v>
      </c>
      <c r="K640" s="175">
        <f t="shared" si="429"/>
        <v>1086177.5999999999</v>
      </c>
      <c r="L640" s="175">
        <f t="shared" si="429"/>
        <v>1086177.5999999999</v>
      </c>
      <c r="M640" s="175">
        <f t="shared" si="429"/>
        <v>1154476.7999999998</v>
      </c>
      <c r="N640" s="175">
        <f t="shared" si="429"/>
        <v>639506.49444711057</v>
      </c>
      <c r="O640" s="403">
        <f>+Q523*72%</f>
        <v>12293700.09444711</v>
      </c>
      <c r="Q640" s="376"/>
    </row>
    <row r="641" spans="1:17" x14ac:dyDescent="0.35">
      <c r="A641" s="379" t="s">
        <v>641</v>
      </c>
      <c r="C641" s="175">
        <f t="shared" ref="C641:N641" si="430">+$O$641*C528</f>
        <v>0</v>
      </c>
      <c r="D641" s="175">
        <f t="shared" si="430"/>
        <v>170972.4</v>
      </c>
      <c r="E641" s="175">
        <f t="shared" si="430"/>
        <v>85486.2</v>
      </c>
      <c r="F641" s="175">
        <f t="shared" si="430"/>
        <v>427431</v>
      </c>
      <c r="G641" s="175">
        <f t="shared" si="430"/>
        <v>341944.8</v>
      </c>
      <c r="H641" s="175">
        <f t="shared" si="430"/>
        <v>170972.4</v>
      </c>
      <c r="I641" s="175">
        <f t="shared" si="430"/>
        <v>427431</v>
      </c>
      <c r="J641" s="175">
        <f t="shared" si="430"/>
        <v>341944.8</v>
      </c>
      <c r="K641" s="175">
        <f t="shared" si="430"/>
        <v>256458.6</v>
      </c>
      <c r="L641" s="175">
        <f t="shared" si="430"/>
        <v>256458.6</v>
      </c>
      <c r="M641" s="175">
        <f t="shared" si="430"/>
        <v>272584.8</v>
      </c>
      <c r="N641" s="175">
        <f t="shared" si="430"/>
        <v>150994.58896667892</v>
      </c>
      <c r="O641" s="403">
        <f>+Q523*17%</f>
        <v>2902679.1889666789</v>
      </c>
      <c r="Q641" s="376"/>
    </row>
    <row r="642" spans="1:17" x14ac:dyDescent="0.35">
      <c r="A642" s="379" t="s">
        <v>642</v>
      </c>
      <c r="C642" s="175">
        <f t="shared" ref="C642:N642" si="431">+$O$642*C528</f>
        <v>0</v>
      </c>
      <c r="D642" s="175">
        <f t="shared" si="431"/>
        <v>110629.19999999998</v>
      </c>
      <c r="E642" s="175">
        <f t="shared" si="431"/>
        <v>55314.599999999991</v>
      </c>
      <c r="F642" s="175">
        <f t="shared" si="431"/>
        <v>276573</v>
      </c>
      <c r="G642" s="175">
        <f t="shared" si="431"/>
        <v>221258.39999999997</v>
      </c>
      <c r="H642" s="175">
        <f t="shared" si="431"/>
        <v>110629.19999999998</v>
      </c>
      <c r="I642" s="175">
        <f t="shared" si="431"/>
        <v>276573</v>
      </c>
      <c r="J642" s="175">
        <f t="shared" si="431"/>
        <v>221258.39999999997</v>
      </c>
      <c r="K642" s="175">
        <f t="shared" si="431"/>
        <v>165943.79999999999</v>
      </c>
      <c r="L642" s="175">
        <f t="shared" si="431"/>
        <v>165943.79999999999</v>
      </c>
      <c r="M642" s="175">
        <f t="shared" si="431"/>
        <v>176378.4</v>
      </c>
      <c r="N642" s="175">
        <f t="shared" si="431"/>
        <v>97702.381096086348</v>
      </c>
      <c r="O642" s="403">
        <f>+Q523*11%</f>
        <v>1878204.1810960863</v>
      </c>
      <c r="Q642" s="376"/>
    </row>
    <row r="643" spans="1:17" x14ac:dyDescent="0.35">
      <c r="A643" s="379" t="s">
        <v>643</v>
      </c>
      <c r="C643" s="175">
        <f t="shared" ref="C643:N643" si="432">+$O$643*C529</f>
        <v>0</v>
      </c>
      <c r="D643" s="175">
        <f t="shared" si="432"/>
        <v>724118.39999999991</v>
      </c>
      <c r="E643" s="175">
        <f t="shared" si="432"/>
        <v>1448236.7999999998</v>
      </c>
      <c r="F643" s="175">
        <f t="shared" si="432"/>
        <v>20637374.399999999</v>
      </c>
      <c r="G643" s="175">
        <f t="shared" si="432"/>
        <v>0</v>
      </c>
      <c r="H643" s="175">
        <f t="shared" si="432"/>
        <v>0</v>
      </c>
      <c r="I643" s="175">
        <f t="shared" si="432"/>
        <v>0</v>
      </c>
      <c r="J643" s="175">
        <f t="shared" si="432"/>
        <v>0</v>
      </c>
      <c r="K643" s="175">
        <f t="shared" si="432"/>
        <v>-362059.19999999995</v>
      </c>
      <c r="L643" s="175">
        <f t="shared" si="432"/>
        <v>0</v>
      </c>
      <c r="M643" s="175">
        <f t="shared" si="432"/>
        <v>0</v>
      </c>
      <c r="N643" s="175">
        <f t="shared" si="432"/>
        <v>0</v>
      </c>
      <c r="O643" s="403">
        <f>+Q524*72%</f>
        <v>22447670.399999999</v>
      </c>
      <c r="Q643" s="376"/>
    </row>
    <row r="644" spans="1:17" x14ac:dyDescent="0.35">
      <c r="A644" s="379" t="s">
        <v>644</v>
      </c>
      <c r="C644" s="175">
        <f t="shared" ref="C644:N644" si="433">+$O$644*C529</f>
        <v>0</v>
      </c>
      <c r="D644" s="175">
        <f t="shared" si="433"/>
        <v>170972.4</v>
      </c>
      <c r="E644" s="175">
        <f t="shared" si="433"/>
        <v>341944.8</v>
      </c>
      <c r="F644" s="175">
        <f t="shared" si="433"/>
        <v>4872713.4000000004</v>
      </c>
      <c r="G644" s="175">
        <f t="shared" si="433"/>
        <v>0</v>
      </c>
      <c r="H644" s="175">
        <f t="shared" si="433"/>
        <v>0</v>
      </c>
      <c r="I644" s="175">
        <f t="shared" si="433"/>
        <v>0</v>
      </c>
      <c r="J644" s="175">
        <f t="shared" si="433"/>
        <v>0</v>
      </c>
      <c r="K644" s="175">
        <f t="shared" si="433"/>
        <v>-85486.2</v>
      </c>
      <c r="L644" s="175">
        <f t="shared" si="433"/>
        <v>0</v>
      </c>
      <c r="M644" s="175">
        <f t="shared" si="433"/>
        <v>0</v>
      </c>
      <c r="N644" s="175">
        <f t="shared" si="433"/>
        <v>0</v>
      </c>
      <c r="O644" s="403">
        <f>+Q524*17%</f>
        <v>5300144.4000000004</v>
      </c>
    </row>
    <row r="645" spans="1:17" x14ac:dyDescent="0.35">
      <c r="A645" s="379" t="s">
        <v>645</v>
      </c>
      <c r="C645" s="175">
        <f t="shared" ref="C645:N645" si="434">+$O$645*C529</f>
        <v>0</v>
      </c>
      <c r="D645" s="175">
        <f t="shared" si="434"/>
        <v>110629.2</v>
      </c>
      <c r="E645" s="175">
        <f t="shared" si="434"/>
        <v>221258.4</v>
      </c>
      <c r="F645" s="175">
        <f t="shared" si="434"/>
        <v>3152932.2</v>
      </c>
      <c r="G645" s="175">
        <f t="shared" si="434"/>
        <v>0</v>
      </c>
      <c r="H645" s="175">
        <f t="shared" si="434"/>
        <v>0</v>
      </c>
      <c r="I645" s="175">
        <f t="shared" si="434"/>
        <v>0</v>
      </c>
      <c r="J645" s="175">
        <f t="shared" si="434"/>
        <v>0</v>
      </c>
      <c r="K645" s="175">
        <f t="shared" si="434"/>
        <v>-55314.6</v>
      </c>
      <c r="L645" s="175">
        <f t="shared" si="434"/>
        <v>0</v>
      </c>
      <c r="M645" s="175">
        <f t="shared" si="434"/>
        <v>0</v>
      </c>
      <c r="N645" s="175">
        <f t="shared" si="434"/>
        <v>0</v>
      </c>
      <c r="O645" s="403">
        <f>+Q524*11%</f>
        <v>3429505.2</v>
      </c>
    </row>
    <row r="646" spans="1:17" x14ac:dyDescent="0.35">
      <c r="A646" s="379" t="s">
        <v>646</v>
      </c>
      <c r="C646" s="175">
        <f t="shared" ref="C646:N646" si="435">+$O$646*C530</f>
        <v>269280</v>
      </c>
      <c r="D646" s="175">
        <f t="shared" si="435"/>
        <v>0</v>
      </c>
      <c r="E646" s="175">
        <f t="shared" si="435"/>
        <v>269280</v>
      </c>
      <c r="F646" s="175">
        <f t="shared" si="435"/>
        <v>269280</v>
      </c>
      <c r="G646" s="175">
        <f t="shared" si="435"/>
        <v>538560</v>
      </c>
      <c r="H646" s="175">
        <f t="shared" si="435"/>
        <v>0</v>
      </c>
      <c r="I646" s="175">
        <f t="shared" si="435"/>
        <v>538560</v>
      </c>
      <c r="J646" s="175">
        <f t="shared" si="435"/>
        <v>269280</v>
      </c>
      <c r="K646" s="175">
        <f t="shared" si="435"/>
        <v>807840</v>
      </c>
      <c r="L646" s="175">
        <f t="shared" si="435"/>
        <v>269280</v>
      </c>
      <c r="M646" s="175">
        <f t="shared" si="435"/>
        <v>0</v>
      </c>
      <c r="N646" s="175">
        <f t="shared" si="435"/>
        <v>0</v>
      </c>
      <c r="O646" s="403">
        <f>+Q525*100%</f>
        <v>3231360</v>
      </c>
    </row>
    <row r="647" spans="1:17" x14ac:dyDescent="0.35">
      <c r="A647" s="379" t="s">
        <v>647</v>
      </c>
      <c r="C647" s="175">
        <f t="shared" ref="C647:N647" si="436">+$O$647*C531</f>
        <v>613958.40000000002</v>
      </c>
      <c r="D647" s="175">
        <f t="shared" si="436"/>
        <v>355449.59999999998</v>
      </c>
      <c r="E647" s="175">
        <f t="shared" si="436"/>
        <v>1227916.8</v>
      </c>
      <c r="F647" s="175">
        <f t="shared" si="436"/>
        <v>646272</v>
      </c>
      <c r="G647" s="175">
        <f t="shared" si="436"/>
        <v>840153.59999999998</v>
      </c>
      <c r="H647" s="175">
        <f t="shared" si="436"/>
        <v>872467.2</v>
      </c>
      <c r="I647" s="175">
        <f t="shared" si="436"/>
        <v>678585.6</v>
      </c>
      <c r="J647" s="175">
        <f t="shared" si="436"/>
        <v>743212.8</v>
      </c>
      <c r="K647" s="175">
        <f t="shared" si="436"/>
        <v>840153.59999999998</v>
      </c>
      <c r="L647" s="175">
        <f t="shared" si="436"/>
        <v>646272</v>
      </c>
      <c r="M647" s="175">
        <f t="shared" si="436"/>
        <v>724829.13837623771</v>
      </c>
      <c r="N647" s="175">
        <f t="shared" si="436"/>
        <v>724829.13837623771</v>
      </c>
      <c r="O647" s="403">
        <f>+Q526*72%</f>
        <v>8914099.8767524753</v>
      </c>
    </row>
    <row r="648" spans="1:17" x14ac:dyDescent="0.35">
      <c r="A648" s="379" t="s">
        <v>648</v>
      </c>
      <c r="C648" s="175">
        <f t="shared" ref="C648:N648" si="437">+$O$648*C531</f>
        <v>144962.40000000002</v>
      </c>
      <c r="D648" s="175">
        <f t="shared" si="437"/>
        <v>83925.6</v>
      </c>
      <c r="E648" s="175">
        <f t="shared" si="437"/>
        <v>289924.80000000005</v>
      </c>
      <c r="F648" s="175">
        <f t="shared" si="437"/>
        <v>152592.00000000003</v>
      </c>
      <c r="G648" s="175">
        <f t="shared" si="437"/>
        <v>198369.6</v>
      </c>
      <c r="H648" s="175">
        <f t="shared" si="437"/>
        <v>205999.2</v>
      </c>
      <c r="I648" s="175">
        <f t="shared" si="437"/>
        <v>160221.6</v>
      </c>
      <c r="J648" s="175">
        <f t="shared" si="437"/>
        <v>175480.80000000002</v>
      </c>
      <c r="K648" s="175">
        <f t="shared" si="437"/>
        <v>198369.6</v>
      </c>
      <c r="L648" s="175">
        <f t="shared" si="437"/>
        <v>152592.00000000003</v>
      </c>
      <c r="M648" s="175">
        <f t="shared" si="437"/>
        <v>171140.21322772279</v>
      </c>
      <c r="N648" s="175">
        <f t="shared" si="437"/>
        <v>171140.21322772279</v>
      </c>
      <c r="O648" s="403">
        <f>+Q526*17%</f>
        <v>2104718.0264554457</v>
      </c>
    </row>
    <row r="649" spans="1:17" x14ac:dyDescent="0.35">
      <c r="A649" s="379" t="s">
        <v>649</v>
      </c>
      <c r="C649" s="175">
        <f t="shared" ref="C649:N649" si="438">+$O$649*C531</f>
        <v>93799.2</v>
      </c>
      <c r="D649" s="175">
        <f t="shared" si="438"/>
        <v>54304.799999999996</v>
      </c>
      <c r="E649" s="175">
        <f t="shared" si="438"/>
        <v>187598.4</v>
      </c>
      <c r="F649" s="175">
        <f t="shared" si="438"/>
        <v>98736</v>
      </c>
      <c r="G649" s="175">
        <f t="shared" si="438"/>
        <v>128356.79999999999</v>
      </c>
      <c r="H649" s="175">
        <f t="shared" si="438"/>
        <v>133293.59999999998</v>
      </c>
      <c r="I649" s="175">
        <f t="shared" si="438"/>
        <v>103672.8</v>
      </c>
      <c r="J649" s="175">
        <f t="shared" si="438"/>
        <v>113546.4</v>
      </c>
      <c r="K649" s="175">
        <f t="shared" si="438"/>
        <v>128356.79999999999</v>
      </c>
      <c r="L649" s="175">
        <f t="shared" si="438"/>
        <v>98736</v>
      </c>
      <c r="M649" s="175">
        <f t="shared" si="438"/>
        <v>110737.78502970298</v>
      </c>
      <c r="N649" s="175">
        <f t="shared" si="438"/>
        <v>110737.78502970298</v>
      </c>
      <c r="O649" s="403">
        <f>+Q526*11%</f>
        <v>1361876.3700594059</v>
      </c>
    </row>
    <row r="652" spans="1:17" x14ac:dyDescent="0.35">
      <c r="A652" s="191" t="s">
        <v>205</v>
      </c>
      <c r="C652" s="172">
        <f>SUM(C653:C663)</f>
        <v>6110661</v>
      </c>
      <c r="D652" s="172">
        <f t="shared" ref="D652:N652" si="439">SUM(D653:D663)</f>
        <v>11578521.000000002</v>
      </c>
      <c r="E652" s="172">
        <f t="shared" si="439"/>
        <v>135470838</v>
      </c>
      <c r="F652" s="172">
        <f t="shared" si="439"/>
        <v>7570755</v>
      </c>
      <c r="G652" s="172">
        <f t="shared" si="439"/>
        <v>6870900</v>
      </c>
      <c r="H652" s="172">
        <f t="shared" si="439"/>
        <v>6037734</v>
      </c>
      <c r="I652" s="172">
        <f t="shared" si="439"/>
        <v>5610828</v>
      </c>
      <c r="J652" s="172">
        <f t="shared" si="439"/>
        <v>5617599</v>
      </c>
      <c r="K652" s="172">
        <f t="shared" si="439"/>
        <v>7821726.0000000009</v>
      </c>
      <c r="L652" s="172">
        <f t="shared" si="439"/>
        <v>3475632</v>
      </c>
      <c r="M652" s="172">
        <f t="shared" si="439"/>
        <v>3475632</v>
      </c>
      <c r="N652" s="172">
        <f t="shared" si="439"/>
        <v>3475632</v>
      </c>
      <c r="O652" s="172">
        <f>SUM(O653:O663)</f>
        <v>203116458</v>
      </c>
    </row>
    <row r="653" spans="1:17" x14ac:dyDescent="0.35">
      <c r="A653" s="379" t="s">
        <v>650</v>
      </c>
      <c r="C653" s="175">
        <f t="shared" ref="C653:N653" si="440">+$O$653*C539</f>
        <v>0</v>
      </c>
      <c r="D653" s="175">
        <f t="shared" si="440"/>
        <v>35930.699999999997</v>
      </c>
      <c r="E653" s="175">
        <f t="shared" si="440"/>
        <v>0</v>
      </c>
      <c r="F653" s="175">
        <f t="shared" si="440"/>
        <v>0</v>
      </c>
      <c r="G653" s="175">
        <f t="shared" si="440"/>
        <v>0</v>
      </c>
      <c r="H653" s="175">
        <f t="shared" si="440"/>
        <v>0</v>
      </c>
      <c r="I653" s="175">
        <f t="shared" si="440"/>
        <v>0</v>
      </c>
      <c r="J653" s="175">
        <f t="shared" si="440"/>
        <v>35930.699999999997</v>
      </c>
      <c r="K653" s="175">
        <f t="shared" si="440"/>
        <v>0</v>
      </c>
      <c r="L653" s="175">
        <f t="shared" si="440"/>
        <v>0</v>
      </c>
      <c r="M653" s="175">
        <f t="shared" si="440"/>
        <v>0</v>
      </c>
      <c r="N653" s="175">
        <f t="shared" si="440"/>
        <v>0</v>
      </c>
      <c r="O653" s="403">
        <f>+Q534*83%</f>
        <v>71861.399999999994</v>
      </c>
      <c r="Q653" s="376"/>
    </row>
    <row r="654" spans="1:17" x14ac:dyDescent="0.35">
      <c r="A654" s="379" t="s">
        <v>651</v>
      </c>
      <c r="C654" s="175">
        <f t="shared" ref="C654:N654" si="441">+$O$654*C539</f>
        <v>0</v>
      </c>
      <c r="D654" s="175">
        <f t="shared" si="441"/>
        <v>7359.3</v>
      </c>
      <c r="E654" s="175">
        <f t="shared" si="441"/>
        <v>0</v>
      </c>
      <c r="F654" s="175">
        <f t="shared" si="441"/>
        <v>0</v>
      </c>
      <c r="G654" s="175">
        <f t="shared" si="441"/>
        <v>0</v>
      </c>
      <c r="H654" s="175">
        <f t="shared" si="441"/>
        <v>0</v>
      </c>
      <c r="I654" s="175">
        <f t="shared" si="441"/>
        <v>0</v>
      </c>
      <c r="J654" s="175">
        <f t="shared" si="441"/>
        <v>7359.3</v>
      </c>
      <c r="K654" s="175">
        <f t="shared" si="441"/>
        <v>0</v>
      </c>
      <c r="L654" s="175">
        <f t="shared" si="441"/>
        <v>0</v>
      </c>
      <c r="M654" s="175">
        <f t="shared" si="441"/>
        <v>0</v>
      </c>
      <c r="N654" s="175">
        <f t="shared" si="441"/>
        <v>0</v>
      </c>
      <c r="O654" s="403">
        <f>+Q534*17%</f>
        <v>14718.6</v>
      </c>
      <c r="Q654" s="376"/>
    </row>
    <row r="655" spans="1:17" x14ac:dyDescent="0.35">
      <c r="A655" s="379" t="s">
        <v>652</v>
      </c>
      <c r="C655" s="175">
        <f t="shared" ref="C655:N655" si="442">+$O$655*C540</f>
        <v>1147011.8400000001</v>
      </c>
      <c r="D655" s="175">
        <f t="shared" si="442"/>
        <v>1267531.2000000002</v>
      </c>
      <c r="E655" s="175">
        <f t="shared" si="442"/>
        <v>3000516.4800000004</v>
      </c>
      <c r="F655" s="175">
        <f t="shared" si="442"/>
        <v>1105453.44</v>
      </c>
      <c r="G655" s="175">
        <f t="shared" si="442"/>
        <v>1234284.48</v>
      </c>
      <c r="H655" s="175">
        <f t="shared" si="442"/>
        <v>1221816.96</v>
      </c>
      <c r="I655" s="175">
        <f t="shared" si="442"/>
        <v>1271687.04</v>
      </c>
      <c r="J655" s="175">
        <f t="shared" si="442"/>
        <v>1250907.8400000001</v>
      </c>
      <c r="K655" s="175">
        <f t="shared" si="442"/>
        <v>1417141.44</v>
      </c>
      <c r="L655" s="175">
        <f t="shared" si="442"/>
        <v>1508569.9200000002</v>
      </c>
      <c r="M655" s="175">
        <f t="shared" si="442"/>
        <v>1508569.9200000002</v>
      </c>
      <c r="N655" s="175">
        <f t="shared" si="442"/>
        <v>1508569.9200000002</v>
      </c>
      <c r="O655" s="403">
        <f>+Q535*72%</f>
        <v>17442060.48</v>
      </c>
      <c r="Q655" s="376"/>
    </row>
    <row r="656" spans="1:17" x14ac:dyDescent="0.35">
      <c r="A656" s="379" t="s">
        <v>653</v>
      </c>
      <c r="C656" s="175">
        <f t="shared" ref="C656:N656" si="443">+$O$656*C540</f>
        <v>270822.24000000005</v>
      </c>
      <c r="D656" s="175">
        <f t="shared" si="443"/>
        <v>299278.2</v>
      </c>
      <c r="E656" s="175">
        <f t="shared" si="443"/>
        <v>708455.28</v>
      </c>
      <c r="F656" s="175">
        <f t="shared" si="443"/>
        <v>261009.84</v>
      </c>
      <c r="G656" s="175">
        <f t="shared" si="443"/>
        <v>291428.28000000003</v>
      </c>
      <c r="H656" s="175">
        <f t="shared" si="443"/>
        <v>288484.56</v>
      </c>
      <c r="I656" s="175">
        <f t="shared" si="443"/>
        <v>300259.44000000006</v>
      </c>
      <c r="J656" s="175">
        <f t="shared" si="443"/>
        <v>295353.24000000005</v>
      </c>
      <c r="K656" s="175">
        <f t="shared" si="443"/>
        <v>334602.84000000003</v>
      </c>
      <c r="L656" s="175">
        <f t="shared" si="443"/>
        <v>356190.12000000005</v>
      </c>
      <c r="M656" s="175">
        <f t="shared" si="443"/>
        <v>356190.12000000005</v>
      </c>
      <c r="N656" s="175">
        <f t="shared" si="443"/>
        <v>356190.12000000005</v>
      </c>
      <c r="O656" s="403">
        <f>+Q535*17%</f>
        <v>4118264.2800000003</v>
      </c>
      <c r="Q656" s="376"/>
    </row>
    <row r="657" spans="1:18" x14ac:dyDescent="0.35">
      <c r="A657" s="379" t="s">
        <v>654</v>
      </c>
      <c r="C657" s="175">
        <f t="shared" ref="C657:N657" si="444">+$O$657*C540</f>
        <v>175237.92</v>
      </c>
      <c r="D657" s="175">
        <f t="shared" si="444"/>
        <v>193650.60000000003</v>
      </c>
      <c r="E657" s="175">
        <f t="shared" si="444"/>
        <v>458412.24000000005</v>
      </c>
      <c r="F657" s="175">
        <f t="shared" si="444"/>
        <v>168888.72</v>
      </c>
      <c r="G657" s="175">
        <f t="shared" si="444"/>
        <v>188571.24000000002</v>
      </c>
      <c r="H657" s="175">
        <f t="shared" si="444"/>
        <v>186666.48</v>
      </c>
      <c r="I657" s="175">
        <f t="shared" si="444"/>
        <v>194285.52000000002</v>
      </c>
      <c r="J657" s="175">
        <f t="shared" si="444"/>
        <v>191110.92</v>
      </c>
      <c r="K657" s="175">
        <f t="shared" si="444"/>
        <v>216507.72</v>
      </c>
      <c r="L657" s="175">
        <f t="shared" si="444"/>
        <v>230475.96000000002</v>
      </c>
      <c r="M657" s="175">
        <f t="shared" si="444"/>
        <v>230475.96000000002</v>
      </c>
      <c r="N657" s="175">
        <f t="shared" si="444"/>
        <v>230475.96000000002</v>
      </c>
      <c r="O657" s="403">
        <f>+Q535*11%</f>
        <v>2664759.2400000002</v>
      </c>
    </row>
    <row r="658" spans="1:18" x14ac:dyDescent="0.35">
      <c r="A658" s="379" t="s">
        <v>655</v>
      </c>
      <c r="C658" s="175">
        <f t="shared" ref="C658:N658" si="445">+$O$658*C541</f>
        <v>516203.27999999997</v>
      </c>
      <c r="D658" s="175">
        <f t="shared" si="445"/>
        <v>673006.32</v>
      </c>
      <c r="E658" s="175">
        <f t="shared" si="445"/>
        <v>2170147.6800000002</v>
      </c>
      <c r="F658" s="175">
        <f t="shared" si="445"/>
        <v>1606631.76</v>
      </c>
      <c r="G658" s="175">
        <f t="shared" si="445"/>
        <v>1267211.52</v>
      </c>
      <c r="H658" s="175">
        <f t="shared" si="445"/>
        <v>1076202.72</v>
      </c>
      <c r="I658" s="175">
        <f t="shared" si="445"/>
        <v>1193685.1200000001</v>
      </c>
      <c r="J658" s="175">
        <f t="shared" si="445"/>
        <v>940418.64000000013</v>
      </c>
      <c r="K658" s="175">
        <f t="shared" si="445"/>
        <v>1203914.8800000001</v>
      </c>
      <c r="L658" s="175">
        <f t="shared" si="445"/>
        <v>612666.72</v>
      </c>
      <c r="M658" s="175">
        <f t="shared" si="445"/>
        <v>612666.72</v>
      </c>
      <c r="N658" s="175">
        <f t="shared" si="445"/>
        <v>612666.72</v>
      </c>
      <c r="O658" s="403">
        <f>+Q536*72%</f>
        <v>12485422.08</v>
      </c>
    </row>
    <row r="659" spans="1:18" x14ac:dyDescent="0.35">
      <c r="A659" s="379" t="s">
        <v>656</v>
      </c>
      <c r="C659" s="175">
        <f t="shared" ref="C659:N659" si="446">+$O$659*C541</f>
        <v>121881.33000000002</v>
      </c>
      <c r="D659" s="175">
        <f t="shared" si="446"/>
        <v>158904.27000000002</v>
      </c>
      <c r="E659" s="175">
        <f t="shared" si="446"/>
        <v>512395.9800000001</v>
      </c>
      <c r="F659" s="175">
        <f t="shared" si="446"/>
        <v>379343.61000000004</v>
      </c>
      <c r="G659" s="175">
        <f t="shared" si="446"/>
        <v>299202.72000000003</v>
      </c>
      <c r="H659" s="175">
        <f t="shared" si="446"/>
        <v>254103.42</v>
      </c>
      <c r="I659" s="175">
        <f t="shared" si="446"/>
        <v>281842.32</v>
      </c>
      <c r="J659" s="175">
        <f t="shared" si="446"/>
        <v>222043.29000000004</v>
      </c>
      <c r="K659" s="175">
        <f t="shared" si="446"/>
        <v>284257.68000000005</v>
      </c>
      <c r="L659" s="175">
        <f t="shared" si="446"/>
        <v>144657.42000000001</v>
      </c>
      <c r="M659" s="175">
        <f t="shared" si="446"/>
        <v>144657.42000000001</v>
      </c>
      <c r="N659" s="175">
        <f t="shared" si="446"/>
        <v>144657.42000000001</v>
      </c>
      <c r="O659" s="403">
        <f>+Q536*17%</f>
        <v>2947946.8800000004</v>
      </c>
    </row>
    <row r="660" spans="1:18" x14ac:dyDescent="0.35">
      <c r="A660" s="379" t="s">
        <v>657</v>
      </c>
      <c r="C660" s="175">
        <f t="shared" ref="C660:N660" si="447">+$O$660*C541</f>
        <v>78864.39</v>
      </c>
      <c r="D660" s="175">
        <f t="shared" si="447"/>
        <v>102820.41</v>
      </c>
      <c r="E660" s="175">
        <f t="shared" si="447"/>
        <v>331550.34000000003</v>
      </c>
      <c r="F660" s="175">
        <f t="shared" si="447"/>
        <v>245457.63</v>
      </c>
      <c r="G660" s="175">
        <f t="shared" si="447"/>
        <v>193601.75999999998</v>
      </c>
      <c r="H660" s="175">
        <f t="shared" si="447"/>
        <v>164419.85999999999</v>
      </c>
      <c r="I660" s="175">
        <f t="shared" si="447"/>
        <v>182368.56</v>
      </c>
      <c r="J660" s="175">
        <f t="shared" si="447"/>
        <v>143675.07</v>
      </c>
      <c r="K660" s="175">
        <f t="shared" si="447"/>
        <v>183931.44</v>
      </c>
      <c r="L660" s="175">
        <f t="shared" si="447"/>
        <v>93601.86</v>
      </c>
      <c r="M660" s="175">
        <f t="shared" si="447"/>
        <v>93601.86</v>
      </c>
      <c r="N660" s="175">
        <f t="shared" si="447"/>
        <v>93601.86</v>
      </c>
      <c r="O660" s="403">
        <f>+Q536*11%</f>
        <v>1907495.04</v>
      </c>
    </row>
    <row r="661" spans="1:18" x14ac:dyDescent="0.35">
      <c r="A661" s="379" t="s">
        <v>658</v>
      </c>
      <c r="C661" s="175">
        <f t="shared" ref="C661:N661" si="448">+$O$661*C542</f>
        <v>2736460.8</v>
      </c>
      <c r="D661" s="175">
        <f t="shared" si="448"/>
        <v>6364828.7999999998</v>
      </c>
      <c r="E661" s="175">
        <f t="shared" si="448"/>
        <v>92368339.199999988</v>
      </c>
      <c r="F661" s="175">
        <f t="shared" si="448"/>
        <v>2738858.4</v>
      </c>
      <c r="G661" s="175">
        <f t="shared" si="448"/>
        <v>2445552</v>
      </c>
      <c r="H661" s="175">
        <f t="shared" si="448"/>
        <v>2049148.8</v>
      </c>
      <c r="I661" s="175">
        <f t="shared" si="448"/>
        <v>1574424</v>
      </c>
      <c r="J661" s="175">
        <f t="shared" si="448"/>
        <v>1822175.9999999998</v>
      </c>
      <c r="K661" s="175">
        <f t="shared" si="448"/>
        <v>3010586.4</v>
      </c>
      <c r="L661" s="175">
        <f t="shared" si="448"/>
        <v>381218.4</v>
      </c>
      <c r="M661" s="175">
        <f t="shared" si="448"/>
        <v>381218.4</v>
      </c>
      <c r="N661" s="175">
        <f t="shared" si="448"/>
        <v>381218.4</v>
      </c>
      <c r="O661" s="403">
        <f>+Q537*72%</f>
        <v>116254029.59999999</v>
      </c>
    </row>
    <row r="662" spans="1:18" x14ac:dyDescent="0.35">
      <c r="A662" s="379" t="s">
        <v>659</v>
      </c>
      <c r="C662" s="175">
        <f t="shared" ref="C662:N662" si="449">+$O$662*C542</f>
        <v>646108.80000000005</v>
      </c>
      <c r="D662" s="175">
        <f t="shared" si="449"/>
        <v>1502806.8</v>
      </c>
      <c r="E662" s="175">
        <f t="shared" si="449"/>
        <v>21809191.199999999</v>
      </c>
      <c r="F662" s="175">
        <f t="shared" si="449"/>
        <v>646674.9</v>
      </c>
      <c r="G662" s="175">
        <f t="shared" si="449"/>
        <v>577422.00000000012</v>
      </c>
      <c r="H662" s="175">
        <f t="shared" si="449"/>
        <v>483826.80000000005</v>
      </c>
      <c r="I662" s="175">
        <f t="shared" si="449"/>
        <v>371739</v>
      </c>
      <c r="J662" s="175">
        <f t="shared" si="449"/>
        <v>430236</v>
      </c>
      <c r="K662" s="175">
        <f t="shared" si="449"/>
        <v>710832.9</v>
      </c>
      <c r="L662" s="175">
        <f t="shared" si="449"/>
        <v>90009.900000000009</v>
      </c>
      <c r="M662" s="175">
        <f t="shared" si="449"/>
        <v>90009.900000000009</v>
      </c>
      <c r="N662" s="175">
        <f t="shared" si="449"/>
        <v>90009.900000000009</v>
      </c>
      <c r="O662" s="403">
        <f>+Q537*17%</f>
        <v>27448868.100000001</v>
      </c>
    </row>
    <row r="663" spans="1:18" x14ac:dyDescent="0.35">
      <c r="A663" s="379" t="s">
        <v>660</v>
      </c>
      <c r="C663" s="175">
        <f t="shared" ref="C663:N663" si="450">+$O$663*C542</f>
        <v>418070.4</v>
      </c>
      <c r="D663" s="175">
        <f t="shared" si="450"/>
        <v>972404.4</v>
      </c>
      <c r="E663" s="175">
        <f t="shared" si="450"/>
        <v>14111829.6</v>
      </c>
      <c r="F663" s="175">
        <f t="shared" si="450"/>
        <v>418436.7</v>
      </c>
      <c r="G663" s="175">
        <f t="shared" si="450"/>
        <v>373626.00000000006</v>
      </c>
      <c r="H663" s="175">
        <f t="shared" si="450"/>
        <v>313064.40000000002</v>
      </c>
      <c r="I663" s="175">
        <f t="shared" si="450"/>
        <v>240537</v>
      </c>
      <c r="J663" s="175">
        <f t="shared" si="450"/>
        <v>278388</v>
      </c>
      <c r="K663" s="175">
        <f t="shared" si="450"/>
        <v>459950.7</v>
      </c>
      <c r="L663" s="175">
        <f t="shared" si="450"/>
        <v>58241.700000000004</v>
      </c>
      <c r="M663" s="175">
        <f t="shared" si="450"/>
        <v>58241.700000000004</v>
      </c>
      <c r="N663" s="175">
        <f t="shared" si="450"/>
        <v>58241.700000000004</v>
      </c>
      <c r="O663" s="403">
        <f>+Q537*11%</f>
        <v>17761032.300000001</v>
      </c>
    </row>
    <row r="667" spans="1:18" x14ac:dyDescent="0.35">
      <c r="A667" s="191" t="s">
        <v>661</v>
      </c>
      <c r="C667" s="197">
        <f t="shared" ref="C667:N667" si="451">+$O$667*C546</f>
        <v>14265.71982</v>
      </c>
      <c r="D667" s="197">
        <f t="shared" si="451"/>
        <v>11441.253780000001</v>
      </c>
      <c r="E667" s="197">
        <f t="shared" si="451"/>
        <v>42917.854320000006</v>
      </c>
      <c r="F667" s="197">
        <f t="shared" si="451"/>
        <v>6724861.7673600009</v>
      </c>
      <c r="G667" s="197">
        <f t="shared" si="451"/>
        <v>3421283.5542600001</v>
      </c>
      <c r="H667" s="197">
        <f t="shared" si="451"/>
        <v>2727977.2047000001</v>
      </c>
      <c r="I667" s="197">
        <f t="shared" si="451"/>
        <v>2313158.2551000002</v>
      </c>
      <c r="J667" s="197">
        <f t="shared" si="451"/>
        <v>1123152.3250200001</v>
      </c>
      <c r="K667" s="197">
        <f t="shared" si="451"/>
        <v>37637.196300000003</v>
      </c>
      <c r="L667" s="197">
        <f t="shared" si="451"/>
        <v>8266809.7828800008</v>
      </c>
      <c r="M667" s="197">
        <f t="shared" si="451"/>
        <v>37637.196300000003</v>
      </c>
      <c r="N667" s="197">
        <f t="shared" si="451"/>
        <v>37637.196300000003</v>
      </c>
      <c r="O667" s="195">
        <f>+Q544*99%</f>
        <v>24758779.306140002</v>
      </c>
      <c r="Q667" s="377"/>
      <c r="R667" s="184"/>
    </row>
    <row r="668" spans="1:18" x14ac:dyDescent="0.35">
      <c r="A668" s="191" t="s">
        <v>662</v>
      </c>
      <c r="C668" s="197">
        <f t="shared" ref="C668:N668" si="452">+$O$668*C546</f>
        <v>100.868726</v>
      </c>
      <c r="D668" s="197">
        <f t="shared" si="452"/>
        <v>80.897753999999992</v>
      </c>
      <c r="E668" s="197">
        <f t="shared" si="452"/>
        <v>303.45957599999997</v>
      </c>
      <c r="F668" s="197">
        <f t="shared" si="452"/>
        <v>47549.527647999996</v>
      </c>
      <c r="G668" s="197">
        <f t="shared" si="452"/>
        <v>24190.893817999997</v>
      </c>
      <c r="H668" s="197">
        <f t="shared" si="452"/>
        <v>19288.727709999999</v>
      </c>
      <c r="I668" s="197">
        <f t="shared" si="452"/>
        <v>16355.664429999999</v>
      </c>
      <c r="J668" s="197">
        <f t="shared" si="452"/>
        <v>7941.4810859999989</v>
      </c>
      <c r="K668" s="197">
        <f t="shared" si="452"/>
        <v>266.12158999999997</v>
      </c>
      <c r="L668" s="197">
        <f t="shared" si="452"/>
        <v>58452.190383999994</v>
      </c>
      <c r="M668" s="197">
        <f t="shared" si="452"/>
        <v>266.12158999999997</v>
      </c>
      <c r="N668" s="197">
        <f t="shared" si="452"/>
        <v>266.12158999999997</v>
      </c>
      <c r="O668" s="195">
        <f>+Q544*0.7%</f>
        <v>175062.07590199998</v>
      </c>
      <c r="Q668" s="377"/>
      <c r="R668" s="378"/>
    </row>
    <row r="669" spans="1:18" x14ac:dyDescent="0.35">
      <c r="A669" s="191" t="s">
        <v>663</v>
      </c>
      <c r="C669" s="197">
        <f t="shared" ref="C669:N669" si="453">+$O$669*C546</f>
        <v>43.229454000000004</v>
      </c>
      <c r="D669" s="197">
        <f t="shared" si="453"/>
        <v>34.670466000000005</v>
      </c>
      <c r="E669" s="197">
        <f t="shared" si="453"/>
        <v>130.05410400000002</v>
      </c>
      <c r="F669" s="197">
        <f t="shared" si="453"/>
        <v>20378.368992000003</v>
      </c>
      <c r="G669" s="197">
        <f t="shared" si="453"/>
        <v>10367.525922000001</v>
      </c>
      <c r="H669" s="197">
        <f t="shared" si="453"/>
        <v>8266.5975900000012</v>
      </c>
      <c r="I669" s="197">
        <f t="shared" si="453"/>
        <v>7009.5704700000015</v>
      </c>
      <c r="J669" s="197">
        <f t="shared" si="453"/>
        <v>3403.4918940000002</v>
      </c>
      <c r="K669" s="197">
        <f t="shared" si="453"/>
        <v>114.05211000000001</v>
      </c>
      <c r="L669" s="197">
        <f t="shared" si="453"/>
        <v>25050.938736</v>
      </c>
      <c r="M669" s="197">
        <f t="shared" si="453"/>
        <v>114.05211000000001</v>
      </c>
      <c r="N669" s="197">
        <f t="shared" si="453"/>
        <v>114.05211000000001</v>
      </c>
      <c r="O669" s="195">
        <f>+Q544*0.3%</f>
        <v>75026.603958000007</v>
      </c>
      <c r="Q669" s="377"/>
      <c r="R669" s="378"/>
    </row>
    <row r="672" spans="1:18" x14ac:dyDescent="0.35">
      <c r="A672" s="192" t="s">
        <v>513</v>
      </c>
      <c r="C672" s="195">
        <f>+$O$672*C554</f>
        <v>6276713.1534827091</v>
      </c>
      <c r="D672" s="195">
        <f t="shared" ref="D672:N672" si="454">+$O$672*D554</f>
        <v>4438042.9484158745</v>
      </c>
      <c r="E672" s="195">
        <f t="shared" si="454"/>
        <v>8644061.3146943282</v>
      </c>
      <c r="F672" s="195">
        <f t="shared" si="454"/>
        <v>4250252.1501111165</v>
      </c>
      <c r="G672" s="195">
        <f t="shared" si="454"/>
        <v>3724226.0035133027</v>
      </c>
      <c r="H672" s="195">
        <f t="shared" si="454"/>
        <v>5945590.4235658646</v>
      </c>
      <c r="I672" s="195">
        <f t="shared" si="454"/>
        <v>7523272.0506135207</v>
      </c>
      <c r="J672" s="195">
        <f t="shared" si="454"/>
        <v>5549522.9521348467</v>
      </c>
      <c r="K672" s="195">
        <f t="shared" si="454"/>
        <v>5148945.4871014692</v>
      </c>
      <c r="L672" s="195">
        <f t="shared" si="454"/>
        <v>3840138.6745754541</v>
      </c>
      <c r="M672" s="195">
        <f t="shared" si="454"/>
        <v>228417.42089575625</v>
      </c>
      <c r="N672" s="195">
        <f t="shared" si="454"/>
        <v>228417.42089575625</v>
      </c>
      <c r="O672" s="197">
        <v>55797600</v>
      </c>
    </row>
    <row r="673" spans="1:17" x14ac:dyDescent="0.35">
      <c r="A673" s="192"/>
      <c r="C673" s="195">
        <f>+$O$673*C554</f>
        <v>549212.40092973702</v>
      </c>
      <c r="D673" s="195">
        <f t="shared" ref="D673:N673" si="455">+$O$673*D554</f>
        <v>388328.75798638898</v>
      </c>
      <c r="E673" s="195">
        <f t="shared" si="455"/>
        <v>756355.3650357537</v>
      </c>
      <c r="F673" s="195">
        <f t="shared" si="455"/>
        <v>371897.0631347227</v>
      </c>
      <c r="G673" s="195">
        <f t="shared" si="455"/>
        <v>325869.77530741401</v>
      </c>
      <c r="H673" s="195">
        <f t="shared" si="455"/>
        <v>520239.16206201317</v>
      </c>
      <c r="I673" s="195">
        <f t="shared" si="455"/>
        <v>658286.30442868313</v>
      </c>
      <c r="J673" s="195">
        <f t="shared" si="455"/>
        <v>485583.25831179903</v>
      </c>
      <c r="K673" s="195">
        <f t="shared" si="455"/>
        <v>450532.73012137855</v>
      </c>
      <c r="L673" s="195">
        <f t="shared" si="455"/>
        <v>336012.13402535225</v>
      </c>
      <c r="M673" s="195">
        <f t="shared" si="455"/>
        <v>19986.524328378673</v>
      </c>
      <c r="N673" s="195">
        <f t="shared" si="455"/>
        <v>19986.524328378673</v>
      </c>
      <c r="O673" s="197">
        <v>4882290</v>
      </c>
    </row>
    <row r="674" spans="1:17" x14ac:dyDescent="0.35">
      <c r="A674" s="192"/>
      <c r="C674" s="195">
        <f>+$O$674*C554</f>
        <v>863048.05860387255</v>
      </c>
      <c r="D674" s="195">
        <f t="shared" ref="D674:N674" si="456">+$O$674*D554</f>
        <v>610230.90540718276</v>
      </c>
      <c r="E674" s="195">
        <f t="shared" si="456"/>
        <v>1188558.4307704701</v>
      </c>
      <c r="F674" s="195">
        <f t="shared" si="456"/>
        <v>584409.67064027861</v>
      </c>
      <c r="G674" s="195">
        <f t="shared" si="456"/>
        <v>512081.07548307913</v>
      </c>
      <c r="H674" s="195">
        <f t="shared" si="456"/>
        <v>817518.68324030645</v>
      </c>
      <c r="I674" s="195">
        <f t="shared" si="456"/>
        <v>1034449.9069593592</v>
      </c>
      <c r="J674" s="195">
        <f t="shared" si="456"/>
        <v>763059.40591854136</v>
      </c>
      <c r="K674" s="195">
        <f t="shared" si="456"/>
        <v>707980.00447645201</v>
      </c>
      <c r="L674" s="195">
        <f t="shared" si="456"/>
        <v>528019.06775412499</v>
      </c>
      <c r="M674" s="195">
        <f t="shared" si="456"/>
        <v>31407.395373166484</v>
      </c>
      <c r="N674" s="195">
        <f t="shared" si="456"/>
        <v>31407.395373166484</v>
      </c>
      <c r="O674" s="197">
        <v>7672170</v>
      </c>
    </row>
    <row r="675" spans="1:17" x14ac:dyDescent="0.35">
      <c r="A675" s="192"/>
      <c r="C675" s="195">
        <f>+$O$675*C554</f>
        <v>156917.82883706773</v>
      </c>
      <c r="D675" s="195">
        <f t="shared" ref="D675:N675" si="457">+$O$675*D554</f>
        <v>110951.07371039686</v>
      </c>
      <c r="E675" s="195">
        <f t="shared" si="457"/>
        <v>216101.53286735821</v>
      </c>
      <c r="F675" s="195">
        <f t="shared" si="457"/>
        <v>106256.30375277792</v>
      </c>
      <c r="G675" s="195">
        <f t="shared" si="457"/>
        <v>93105.650087832561</v>
      </c>
      <c r="H675" s="195">
        <f t="shared" si="457"/>
        <v>148639.76058914664</v>
      </c>
      <c r="I675" s="195">
        <f t="shared" si="457"/>
        <v>188081.80126533803</v>
      </c>
      <c r="J675" s="195">
        <f t="shared" si="457"/>
        <v>138738.07380337117</v>
      </c>
      <c r="K675" s="195">
        <f t="shared" si="457"/>
        <v>128723.63717753673</v>
      </c>
      <c r="L675" s="195">
        <f t="shared" si="457"/>
        <v>96003.466864386355</v>
      </c>
      <c r="M675" s="195">
        <f t="shared" si="457"/>
        <v>5710.4355223939065</v>
      </c>
      <c r="N675" s="195">
        <f t="shared" si="457"/>
        <v>5710.4355223939065</v>
      </c>
      <c r="O675" s="197">
        <v>1394940</v>
      </c>
    </row>
    <row r="676" spans="1:17" x14ac:dyDescent="0.35">
      <c r="A676" s="192" t="s">
        <v>514</v>
      </c>
      <c r="C676" s="195">
        <f>+$O$676*C555</f>
        <v>333.37520226387772</v>
      </c>
      <c r="D676" s="195">
        <f t="shared" ref="D676:N676" si="458">+$O$676*D555</f>
        <v>1222.4868667016394</v>
      </c>
      <c r="E676" s="195">
        <f t="shared" si="458"/>
        <v>8760.7669402924421</v>
      </c>
      <c r="F676" s="195">
        <f t="shared" si="458"/>
        <v>4384.8840353767837</v>
      </c>
      <c r="G676" s="195">
        <f t="shared" si="458"/>
        <v>5081.3048329060239</v>
      </c>
      <c r="H676" s="195">
        <f t="shared" si="458"/>
        <v>1950.9116836482121</v>
      </c>
      <c r="I676" s="195">
        <f t="shared" si="458"/>
        <v>14205.784118868356</v>
      </c>
      <c r="J676" s="195">
        <f t="shared" si="458"/>
        <v>9817.5663314689336</v>
      </c>
      <c r="K676" s="195">
        <f t="shared" si="458"/>
        <v>41031.486519435806</v>
      </c>
      <c r="L676" s="195">
        <f t="shared" si="458"/>
        <v>3451.4334690379255</v>
      </c>
      <c r="M676" s="195">
        <f t="shared" si="458"/>
        <v>0</v>
      </c>
      <c r="N676" s="195">
        <f t="shared" si="458"/>
        <v>0</v>
      </c>
      <c r="O676" s="197">
        <v>90240</v>
      </c>
    </row>
    <row r="677" spans="1:17" x14ac:dyDescent="0.35">
      <c r="A677" s="192"/>
      <c r="C677" s="195">
        <f>+$O$677*C555</f>
        <v>83.343800565969431</v>
      </c>
      <c r="D677" s="195">
        <f t="shared" ref="D677:N677" si="459">+$O$677*D555</f>
        <v>305.62171667540986</v>
      </c>
      <c r="E677" s="195">
        <f t="shared" si="459"/>
        <v>2190.1917350731105</v>
      </c>
      <c r="F677" s="195">
        <f t="shared" si="459"/>
        <v>1096.2210088441959</v>
      </c>
      <c r="G677" s="195">
        <f t="shared" si="459"/>
        <v>1270.326208226506</v>
      </c>
      <c r="H677" s="195">
        <f t="shared" si="459"/>
        <v>487.72792091205304</v>
      </c>
      <c r="I677" s="195">
        <f t="shared" si="459"/>
        <v>3551.446029717089</v>
      </c>
      <c r="J677" s="195">
        <f t="shared" si="459"/>
        <v>2454.3915828672334</v>
      </c>
      <c r="K677" s="195">
        <f t="shared" si="459"/>
        <v>10257.871629858952</v>
      </c>
      <c r="L677" s="195">
        <f t="shared" si="459"/>
        <v>862.85836725948138</v>
      </c>
      <c r="M677" s="195">
        <f t="shared" si="459"/>
        <v>0</v>
      </c>
      <c r="N677" s="195">
        <f t="shared" si="459"/>
        <v>0</v>
      </c>
      <c r="O677" s="197">
        <v>22560</v>
      </c>
    </row>
    <row r="678" spans="1:17" x14ac:dyDescent="0.35">
      <c r="A678" s="192"/>
      <c r="C678" s="195">
        <f>+$O$678*C555</f>
        <v>614.66052917402453</v>
      </c>
      <c r="D678" s="195">
        <f t="shared" ref="D678:N678" si="460">+$O$678*D555</f>
        <v>2253.9601604811478</v>
      </c>
      <c r="E678" s="195">
        <f t="shared" si="460"/>
        <v>16152.664046164191</v>
      </c>
      <c r="F678" s="195">
        <f t="shared" si="460"/>
        <v>8084.6299402259447</v>
      </c>
      <c r="G678" s="195">
        <f t="shared" si="460"/>
        <v>9368.6557856704821</v>
      </c>
      <c r="H678" s="195">
        <f t="shared" si="460"/>
        <v>3596.9934167263914</v>
      </c>
      <c r="I678" s="195">
        <f t="shared" si="460"/>
        <v>26191.914469163534</v>
      </c>
      <c r="J678" s="195">
        <f t="shared" si="460"/>
        <v>18101.137923645849</v>
      </c>
      <c r="K678" s="195">
        <f t="shared" si="460"/>
        <v>75651.80327020977</v>
      </c>
      <c r="L678" s="195">
        <f t="shared" si="460"/>
        <v>6363.5804585386759</v>
      </c>
      <c r="M678" s="195">
        <f t="shared" si="460"/>
        <v>0</v>
      </c>
      <c r="N678" s="195">
        <f t="shared" si="460"/>
        <v>0</v>
      </c>
      <c r="O678" s="197">
        <v>166380</v>
      </c>
    </row>
    <row r="679" spans="1:17" x14ac:dyDescent="0.35">
      <c r="A679" s="192"/>
      <c r="C679" s="195">
        <f>+$O$679*C555</f>
        <v>10.417975070746179</v>
      </c>
      <c r="D679" s="195">
        <f t="shared" ref="D679:N679" si="461">+$O$679*D555</f>
        <v>38.202714584426232</v>
      </c>
      <c r="E679" s="195">
        <f t="shared" si="461"/>
        <v>273.77396688413882</v>
      </c>
      <c r="F679" s="195">
        <f t="shared" si="461"/>
        <v>137.02762610552449</v>
      </c>
      <c r="G679" s="195">
        <f t="shared" si="461"/>
        <v>158.79077602831325</v>
      </c>
      <c r="H679" s="195">
        <f t="shared" si="461"/>
        <v>60.96599011400663</v>
      </c>
      <c r="I679" s="195">
        <f t="shared" si="461"/>
        <v>443.93075371463613</v>
      </c>
      <c r="J679" s="195">
        <f t="shared" si="461"/>
        <v>306.79894785840418</v>
      </c>
      <c r="K679" s="195">
        <f t="shared" si="461"/>
        <v>1282.2339537323689</v>
      </c>
      <c r="L679" s="195">
        <f t="shared" si="461"/>
        <v>107.85729590743517</v>
      </c>
      <c r="M679" s="195">
        <f t="shared" si="461"/>
        <v>0</v>
      </c>
      <c r="N679" s="195">
        <f t="shared" si="461"/>
        <v>0</v>
      </c>
      <c r="O679" s="197">
        <v>2820</v>
      </c>
    </row>
    <row r="680" spans="1:17" x14ac:dyDescent="0.35">
      <c r="A680" s="19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302"/>
    </row>
    <row r="683" spans="1:17" x14ac:dyDescent="0.35">
      <c r="A683" s="381" t="s">
        <v>900</v>
      </c>
      <c r="C683" s="50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195">
        <f>+Q683*67%</f>
        <v>5097360</v>
      </c>
      <c r="P683" s="383">
        <v>0.67</v>
      </c>
      <c r="Q683" s="382">
        <v>7608000</v>
      </c>
    </row>
    <row r="684" spans="1:17" x14ac:dyDescent="0.35">
      <c r="A684" s="381" t="s">
        <v>901</v>
      </c>
      <c r="C684" s="50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195">
        <f>+Q683*24%</f>
        <v>1825920</v>
      </c>
      <c r="P684" s="383">
        <v>0.24</v>
      </c>
      <c r="Q684" s="382"/>
    </row>
    <row r="685" spans="1:17" x14ac:dyDescent="0.35">
      <c r="A685" s="381" t="s">
        <v>902</v>
      </c>
      <c r="C685" s="50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195">
        <f>+Q683*9%</f>
        <v>684720</v>
      </c>
      <c r="P685" s="383">
        <v>0.09</v>
      </c>
      <c r="Q685" s="382"/>
    </row>
    <row r="686" spans="1:17" x14ac:dyDescent="0.35">
      <c r="A686" s="381" t="s">
        <v>533</v>
      </c>
      <c r="C686" s="50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195">
        <f>+Q686*100%</f>
        <v>924000</v>
      </c>
      <c r="Q686" s="382">
        <v>924000</v>
      </c>
    </row>
    <row r="687" spans="1:17" x14ac:dyDescent="0.35">
      <c r="A687" s="381" t="s">
        <v>903</v>
      </c>
      <c r="C687" s="50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195">
        <f>+Q687*66%</f>
        <v>5678640</v>
      </c>
      <c r="Q687" s="382">
        <v>8604000</v>
      </c>
    </row>
    <row r="688" spans="1:17" x14ac:dyDescent="0.35">
      <c r="A688" s="381" t="s">
        <v>905</v>
      </c>
      <c r="C688" s="50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195">
        <f>+Q687*24%</f>
        <v>2064960</v>
      </c>
    </row>
    <row r="689" spans="1:15" x14ac:dyDescent="0.35">
      <c r="A689" s="381" t="s">
        <v>904</v>
      </c>
      <c r="C689" s="50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195">
        <f>+Q687*10%</f>
        <v>860400</v>
      </c>
    </row>
  </sheetData>
  <printOptions horizontalCentered="1" verticalCentered="1"/>
  <pageMargins left="0" right="0" top="0" bottom="0" header="0.31496062992125984" footer="0.31496062992125984"/>
  <pageSetup scale="70" orientation="landscape" r:id="rId1"/>
  <ignoredErrors>
    <ignoredError sqref="O152:O153 O166 O178 O182:O186 O201 O292 O301:O302 O137 O110 O156:O157 O385 O412 O397:O398 P329 O344 O348 O121:O123 O159:O162 O311 O424 O391:O393 O388 O87 P397 O321 O275 O232 R44 R37:R39 R30:R32 R18 R13 O289:O290 O126 O307 O410 O259:O260 O262 O356 O363" formula="1"/>
    <ignoredError sqref="O18 O13 O39 O37 O44 O32 O158 O303 O146 O377 O155 O209 O329 O404:O405 O124:O125 O285 O396 O422:O423 O389 O386:O387 O83 O288 O399:O400 O425 O254:O257 O261 O263 O436 O247:O248" formula="1" formulaRange="1"/>
    <ignoredError sqref="O177 O233:O234 O50 O57:O59 O145 O364:O368 O154 B166 B170 O267:O271 O279:O281 B392 O444:O448 B398 O338 B137 O349 O118:O119 O210 O345:O346 O408 O335 O293:O294 O305:O306 O351 O353:O354 B443:N443 O327:O328 O341:O343 O418:O419 O67:O76 O188 O330 O197 O286 O317:O320 O236 O238 O12 O414:O415 O362 O105:O106 O140:O142 O300 B126 O240:O246 O273:O274 O395 O433:O434 O437:O440 O426:O427 O88:O90 O102 O258 O322:O323 O208 O148:O151 O212:O217 O204:O206 O357:O360 O308:O310 O376 O229:O231 O223:O227 O250:O253 O92:O99 O52:O53 O325 O219:O221 O430:O43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326"/>
  <sheetViews>
    <sheetView topLeftCell="A220" zoomScaleNormal="100" workbookViewId="0">
      <pane xSplit="1" topLeftCell="M1" activePane="topRight" state="frozen"/>
      <selection pane="topRight" activeCell="O246" sqref="O246"/>
    </sheetView>
  </sheetViews>
  <sheetFormatPr baseColWidth="10" defaultColWidth="11.453125" defaultRowHeight="10.5" x14ac:dyDescent="0.25"/>
  <cols>
    <col min="1" max="1" width="30.81640625" style="5" customWidth="1"/>
    <col min="2" max="2" width="15.1796875" style="15" customWidth="1"/>
    <col min="3" max="10" width="10.7265625" style="5" customWidth="1"/>
    <col min="11" max="11" width="12.1796875" style="5" customWidth="1"/>
    <col min="12" max="12" width="10.7265625" style="5" customWidth="1"/>
    <col min="13" max="13" width="12.453125" style="5" customWidth="1"/>
    <col min="14" max="14" width="10.7265625" style="5" customWidth="1"/>
    <col min="15" max="15" width="11.54296875" style="5" bestFit="1" customWidth="1"/>
    <col min="16" max="16" width="13.1796875" style="5" bestFit="1" customWidth="1"/>
    <col min="17" max="17" width="10.7265625" style="5" bestFit="1" customWidth="1"/>
    <col min="18" max="16384" width="11.453125" style="5"/>
  </cols>
  <sheetData>
    <row r="1" spans="1:17" x14ac:dyDescent="0.25">
      <c r="A1" s="6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x14ac:dyDescent="0.25">
      <c r="A2" s="6" t="s">
        <v>672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7" x14ac:dyDescent="0.25">
      <c r="A3" s="6"/>
      <c r="C3" s="15"/>
      <c r="D3" s="10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7" ht="11" thickBot="1" x14ac:dyDescent="0.3">
      <c r="A4" s="6" t="s">
        <v>673</v>
      </c>
      <c r="B4" s="201">
        <v>0.1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5" thickBot="1" x14ac:dyDescent="0.3">
      <c r="A5" s="27"/>
      <c r="B5" s="69" t="s">
        <v>668</v>
      </c>
      <c r="C5" s="69" t="s">
        <v>159</v>
      </c>
      <c r="D5" s="69" t="s">
        <v>160</v>
      </c>
      <c r="E5" s="69" t="s">
        <v>161</v>
      </c>
      <c r="F5" s="69" t="s">
        <v>162</v>
      </c>
      <c r="G5" s="69" t="s">
        <v>163</v>
      </c>
      <c r="H5" s="69" t="s">
        <v>164</v>
      </c>
      <c r="I5" s="69" t="s">
        <v>165</v>
      </c>
      <c r="J5" s="69" t="s">
        <v>166</v>
      </c>
      <c r="K5" s="69" t="s">
        <v>167</v>
      </c>
      <c r="L5" s="69" t="s">
        <v>168</v>
      </c>
      <c r="M5" s="69" t="s">
        <v>169</v>
      </c>
      <c r="N5" s="69" t="s">
        <v>170</v>
      </c>
      <c r="O5" s="69" t="s">
        <v>670</v>
      </c>
      <c r="P5" s="212" t="s">
        <v>671</v>
      </c>
    </row>
    <row r="6" spans="1:17" ht="9" customHeight="1" thickBot="1" x14ac:dyDescent="0.3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7"/>
    </row>
    <row r="7" spans="1:17" s="6" customFormat="1" x14ac:dyDescent="0.25">
      <c r="A7" s="160" t="s">
        <v>136</v>
      </c>
      <c r="B7" s="332">
        <f t="shared" ref="B7:O7" si="0">+B8+B25</f>
        <v>382292018</v>
      </c>
      <c r="C7" s="161">
        <f t="shared" si="0"/>
        <v>15407916.6</v>
      </c>
      <c r="D7" s="161">
        <f t="shared" si="0"/>
        <v>34300384.600000001</v>
      </c>
      <c r="E7" s="161">
        <f t="shared" si="0"/>
        <v>90393987.700000003</v>
      </c>
      <c r="F7" s="161">
        <f t="shared" si="0"/>
        <v>27115662.600000001</v>
      </c>
      <c r="G7" s="161">
        <f t="shared" si="0"/>
        <v>39114836.399999999</v>
      </c>
      <c r="H7" s="161">
        <f t="shared" si="0"/>
        <v>29784323.300000001</v>
      </c>
      <c r="I7" s="161">
        <f t="shared" si="0"/>
        <v>28930256.5</v>
      </c>
      <c r="J7" s="161">
        <f t="shared" si="0"/>
        <v>35448336.100000001</v>
      </c>
      <c r="K7" s="161">
        <f t="shared" si="0"/>
        <v>39117811.100000001</v>
      </c>
      <c r="L7" s="161">
        <f t="shared" si="0"/>
        <v>38365211.100000001</v>
      </c>
      <c r="M7" s="161">
        <f t="shared" si="0"/>
        <v>19470311.100000001</v>
      </c>
      <c r="N7" s="161">
        <f t="shared" si="0"/>
        <v>18690311.100000001</v>
      </c>
      <c r="O7" s="332">
        <f t="shared" si="0"/>
        <v>416139348.19999999</v>
      </c>
      <c r="P7" s="370">
        <f t="shared" ref="P7:P12" si="1">+(O7-B7)/B7</f>
        <v>8.8537894087027447E-2</v>
      </c>
      <c r="Q7" s="14"/>
    </row>
    <row r="8" spans="1:17" s="6" customFormat="1" x14ac:dyDescent="0.25">
      <c r="A8" s="18" t="s">
        <v>137</v>
      </c>
      <c r="B8" s="306">
        <f t="shared" ref="B8:O8" si="2">+B9+B10+B11+B15</f>
        <v>167736000</v>
      </c>
      <c r="C8" s="10">
        <f t="shared" si="2"/>
        <v>3847000</v>
      </c>
      <c r="D8" s="10">
        <f t="shared" si="2"/>
        <v>11921400</v>
      </c>
      <c r="E8" s="10">
        <f t="shared" si="2"/>
        <v>68789800</v>
      </c>
      <c r="F8" s="10">
        <f t="shared" si="2"/>
        <v>9490000</v>
      </c>
      <c r="G8" s="10">
        <f t="shared" si="2"/>
        <v>23287800</v>
      </c>
      <c r="H8" s="10">
        <f t="shared" si="2"/>
        <v>11883800</v>
      </c>
      <c r="I8" s="10">
        <f t="shared" si="2"/>
        <v>8978400</v>
      </c>
      <c r="J8" s="10">
        <f t="shared" si="2"/>
        <v>11198200</v>
      </c>
      <c r="K8" s="10">
        <f t="shared" si="2"/>
        <v>8470700</v>
      </c>
      <c r="L8" s="10">
        <f t="shared" si="2"/>
        <v>25008100</v>
      </c>
      <c r="M8" s="10">
        <f t="shared" si="2"/>
        <v>7943200</v>
      </c>
      <c r="N8" s="10">
        <f t="shared" si="2"/>
        <v>1143200</v>
      </c>
      <c r="O8" s="306">
        <f t="shared" si="2"/>
        <v>191961600</v>
      </c>
      <c r="P8" s="208">
        <f t="shared" si="1"/>
        <v>0.14442695664615826</v>
      </c>
    </row>
    <row r="9" spans="1:17" s="6" customFormat="1" x14ac:dyDescent="0.25">
      <c r="A9" s="18" t="s">
        <v>138</v>
      </c>
      <c r="B9" s="306">
        <v>65300000</v>
      </c>
      <c r="C9" s="11">
        <v>3000000</v>
      </c>
      <c r="D9" s="11">
        <v>3200000</v>
      </c>
      <c r="E9" s="11">
        <f>58800000+1000000</f>
        <v>59800000</v>
      </c>
      <c r="F9" s="11">
        <v>250000</v>
      </c>
      <c r="G9" s="11">
        <v>250000</v>
      </c>
      <c r="H9" s="11">
        <v>250000</v>
      </c>
      <c r="I9" s="11">
        <v>250000</v>
      </c>
      <c r="J9" s="11">
        <f>+$Q$243*J245</f>
        <v>0</v>
      </c>
      <c r="K9" s="11">
        <v>0</v>
      </c>
      <c r="L9" s="11">
        <f>+$Q$243*L245</f>
        <v>0</v>
      </c>
      <c r="M9" s="11">
        <f>+$Q$243*M245</f>
        <v>0</v>
      </c>
      <c r="N9" s="11">
        <f>+$Q$243*N245</f>
        <v>0</v>
      </c>
      <c r="O9" s="306">
        <f>SUM(C9:N9)</f>
        <v>67000000</v>
      </c>
      <c r="P9" s="369">
        <f t="shared" si="1"/>
        <v>2.6033690658499236E-2</v>
      </c>
    </row>
    <row r="10" spans="1:17" s="6" customFormat="1" x14ac:dyDescent="0.25">
      <c r="A10" s="18" t="s">
        <v>139</v>
      </c>
      <c r="B10" s="306">
        <v>44820000</v>
      </c>
      <c r="C10" s="11"/>
      <c r="D10" s="11">
        <v>7000000</v>
      </c>
      <c r="E10" s="11">
        <v>5500000</v>
      </c>
      <c r="F10" s="11">
        <v>6000000</v>
      </c>
      <c r="G10" s="11">
        <f>6000000+3750000</f>
        <v>9750000</v>
      </c>
      <c r="H10" s="11">
        <f>5500000+3750000-3250000</f>
        <v>6000000</v>
      </c>
      <c r="I10" s="11">
        <v>5500000</v>
      </c>
      <c r="J10" s="11">
        <f>5500000+3250000</f>
        <v>8750000</v>
      </c>
      <c r="K10" s="11">
        <v>5500000</v>
      </c>
      <c r="L10" s="11">
        <v>6000000</v>
      </c>
      <c r="M10" s="11">
        <v>5500000</v>
      </c>
      <c r="N10" s="11">
        <v>0</v>
      </c>
      <c r="O10" s="306">
        <f>SUM(C10:N10)</f>
        <v>65500000</v>
      </c>
      <c r="P10" s="208">
        <f t="shared" si="1"/>
        <v>0.46140116019634092</v>
      </c>
    </row>
    <row r="11" spans="1:17" s="6" customFormat="1" x14ac:dyDescent="0.25">
      <c r="A11" s="18" t="s">
        <v>140</v>
      </c>
      <c r="B11" s="306">
        <f t="shared" ref="B11:O11" si="3">SUM(B12:B14)</f>
        <v>9673000</v>
      </c>
      <c r="C11" s="10">
        <f t="shared" si="3"/>
        <v>0</v>
      </c>
      <c r="D11" s="10">
        <f t="shared" si="3"/>
        <v>0</v>
      </c>
      <c r="E11" s="10">
        <f t="shared" si="3"/>
        <v>0</v>
      </c>
      <c r="F11" s="10">
        <f t="shared" si="3"/>
        <v>0</v>
      </c>
      <c r="G11" s="10">
        <f t="shared" si="3"/>
        <v>0</v>
      </c>
      <c r="H11" s="10">
        <f t="shared" si="3"/>
        <v>0</v>
      </c>
      <c r="I11" s="10">
        <f t="shared" si="3"/>
        <v>0</v>
      </c>
      <c r="J11" s="10">
        <f t="shared" si="3"/>
        <v>0</v>
      </c>
      <c r="K11" s="10">
        <f t="shared" si="3"/>
        <v>0</v>
      </c>
      <c r="L11" s="10">
        <f t="shared" si="3"/>
        <v>0</v>
      </c>
      <c r="M11" s="10">
        <f t="shared" si="3"/>
        <v>0</v>
      </c>
      <c r="N11" s="10">
        <f t="shared" si="3"/>
        <v>0</v>
      </c>
      <c r="O11" s="306">
        <f t="shared" si="3"/>
        <v>0</v>
      </c>
      <c r="P11" s="208">
        <f t="shared" si="1"/>
        <v>-1</v>
      </c>
    </row>
    <row r="12" spans="1:17" x14ac:dyDescent="0.25">
      <c r="A12" s="13" t="s">
        <v>141</v>
      </c>
      <c r="B12" s="307">
        <v>3785000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307">
        <f>SUM(C12:N12)</f>
        <v>0</v>
      </c>
      <c r="P12" s="213">
        <f t="shared" si="1"/>
        <v>-1</v>
      </c>
    </row>
    <row r="13" spans="1:17" x14ac:dyDescent="0.25">
      <c r="A13" s="13" t="s">
        <v>796</v>
      </c>
      <c r="B13" s="307">
        <v>5888000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307">
        <f>SUM(C13:N13)</f>
        <v>0</v>
      </c>
      <c r="P13" s="213">
        <v>0</v>
      </c>
    </row>
    <row r="14" spans="1:17" x14ac:dyDescent="0.25">
      <c r="A14" s="13" t="s">
        <v>142</v>
      </c>
      <c r="B14" s="307">
        <v>0</v>
      </c>
      <c r="C14" s="11">
        <f>ROUND((($B$14*$B$4)+$B$14)/12,-3)</f>
        <v>0</v>
      </c>
      <c r="D14" s="11">
        <f t="shared" ref="D14:N14" si="4">ROUND((($B$14*$B$50)+$B$14)/12,-3)</f>
        <v>0</v>
      </c>
      <c r="E14" s="11">
        <f t="shared" si="4"/>
        <v>0</v>
      </c>
      <c r="F14" s="11">
        <f t="shared" si="4"/>
        <v>0</v>
      </c>
      <c r="G14" s="11">
        <f t="shared" si="4"/>
        <v>0</v>
      </c>
      <c r="H14" s="11">
        <f t="shared" si="4"/>
        <v>0</v>
      </c>
      <c r="I14" s="11">
        <f t="shared" si="4"/>
        <v>0</v>
      </c>
      <c r="J14" s="11">
        <f t="shared" si="4"/>
        <v>0</v>
      </c>
      <c r="K14" s="11">
        <f t="shared" si="4"/>
        <v>0</v>
      </c>
      <c r="L14" s="11">
        <f t="shared" si="4"/>
        <v>0</v>
      </c>
      <c r="M14" s="11">
        <f t="shared" si="4"/>
        <v>0</v>
      </c>
      <c r="N14" s="11">
        <f t="shared" si="4"/>
        <v>0</v>
      </c>
      <c r="O14" s="307">
        <f t="shared" ref="O14:O21" si="5">SUM(C14:N14)</f>
        <v>0</v>
      </c>
      <c r="P14" s="213">
        <v>0</v>
      </c>
    </row>
    <row r="15" spans="1:17" s="6" customFormat="1" x14ac:dyDescent="0.25">
      <c r="A15" s="18" t="s">
        <v>143</v>
      </c>
      <c r="B15" s="306">
        <f t="shared" ref="B15:O15" si="6">SUM(B16:B23)</f>
        <v>47943000</v>
      </c>
      <c r="C15" s="10">
        <f t="shared" si="6"/>
        <v>847000</v>
      </c>
      <c r="D15" s="10">
        <f t="shared" si="6"/>
        <v>1721400</v>
      </c>
      <c r="E15" s="10">
        <f t="shared" si="6"/>
        <v>3489800</v>
      </c>
      <c r="F15" s="10">
        <f t="shared" si="6"/>
        <v>3240000</v>
      </c>
      <c r="G15" s="10">
        <f t="shared" si="6"/>
        <v>13287800</v>
      </c>
      <c r="H15" s="10">
        <f t="shared" si="6"/>
        <v>5633800</v>
      </c>
      <c r="I15" s="10">
        <f t="shared" si="6"/>
        <v>3228400</v>
      </c>
      <c r="J15" s="10">
        <f t="shared" si="6"/>
        <v>2448200</v>
      </c>
      <c r="K15" s="10">
        <f t="shared" si="6"/>
        <v>2970700</v>
      </c>
      <c r="L15" s="10">
        <f t="shared" si="6"/>
        <v>19008100</v>
      </c>
      <c r="M15" s="10">
        <f t="shared" si="6"/>
        <v>2443200</v>
      </c>
      <c r="N15" s="10">
        <f t="shared" si="6"/>
        <v>1143200</v>
      </c>
      <c r="O15" s="306">
        <f t="shared" si="6"/>
        <v>59461600</v>
      </c>
      <c r="P15" s="208">
        <f t="shared" ref="P15:P23" si="7">+(O15-B15)/B15</f>
        <v>0.24025613749661057</v>
      </c>
    </row>
    <row r="16" spans="1:17" x14ac:dyDescent="0.25">
      <c r="A16" s="13" t="s">
        <v>144</v>
      </c>
      <c r="B16" s="307">
        <v>11469000</v>
      </c>
      <c r="C16" s="11">
        <v>550000</v>
      </c>
      <c r="D16" s="11">
        <f>670000+500000</f>
        <v>1170000</v>
      </c>
      <c r="E16" s="11">
        <f>230000+600000</f>
        <v>830000</v>
      </c>
      <c r="F16" s="11">
        <v>800000</v>
      </c>
      <c r="G16" s="11">
        <v>800000</v>
      </c>
      <c r="H16" s="11">
        <v>850000</v>
      </c>
      <c r="I16" s="11">
        <v>850000</v>
      </c>
      <c r="J16" s="11">
        <v>850000</v>
      </c>
      <c r="K16" s="11">
        <v>1000000</v>
      </c>
      <c r="L16" s="11">
        <v>4500000</v>
      </c>
      <c r="M16" s="11">
        <v>1000000</v>
      </c>
      <c r="N16" s="11">
        <v>800000</v>
      </c>
      <c r="O16" s="307">
        <f t="shared" si="5"/>
        <v>14000000</v>
      </c>
      <c r="P16" s="213">
        <f t="shared" si="7"/>
        <v>0.22068183799808178</v>
      </c>
    </row>
    <row r="17" spans="1:18" x14ac:dyDescent="0.25">
      <c r="A17" s="13" t="s">
        <v>408</v>
      </c>
      <c r="B17" s="307">
        <v>212000</v>
      </c>
      <c r="C17" s="11">
        <f>+$Q$272*C274</f>
        <v>0</v>
      </c>
      <c r="D17" s="11">
        <f>+$Q$272*D274</f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307">
        <f t="shared" si="5"/>
        <v>0</v>
      </c>
      <c r="P17" s="213">
        <f t="shared" si="7"/>
        <v>-1</v>
      </c>
    </row>
    <row r="18" spans="1:18" x14ac:dyDescent="0.25">
      <c r="A18" s="13" t="s">
        <v>145</v>
      </c>
      <c r="B18" s="307">
        <v>9000000</v>
      </c>
      <c r="C18" s="11">
        <v>0</v>
      </c>
      <c r="D18" s="11">
        <v>140000</v>
      </c>
      <c r="E18" s="11">
        <v>2200000</v>
      </c>
      <c r="F18" s="11">
        <v>2000000</v>
      </c>
      <c r="G18" s="11">
        <v>2160000</v>
      </c>
      <c r="H18" s="11">
        <v>2000000</v>
      </c>
      <c r="I18" s="11">
        <v>2000000</v>
      </c>
      <c r="J18" s="11">
        <v>1200000</v>
      </c>
      <c r="K18" s="11">
        <v>1600000</v>
      </c>
      <c r="L18" s="11">
        <v>1600000</v>
      </c>
      <c r="M18" s="11">
        <v>1100000</v>
      </c>
      <c r="N18" s="11">
        <v>0</v>
      </c>
      <c r="O18" s="307">
        <f t="shared" si="5"/>
        <v>16000000</v>
      </c>
      <c r="P18" s="213">
        <f t="shared" si="7"/>
        <v>0.77777777777777779</v>
      </c>
      <c r="R18" s="26"/>
    </row>
    <row r="19" spans="1:18" x14ac:dyDescent="0.25">
      <c r="A19" s="13" t="s">
        <v>146</v>
      </c>
      <c r="B19" s="307">
        <v>2053000</v>
      </c>
      <c r="C19" s="11">
        <f>+$Q$256*C258</f>
        <v>143000</v>
      </c>
      <c r="D19" s="11">
        <f t="shared" ref="D19:N19" si="8">+$Q$256*D258</f>
        <v>211199.99999999997</v>
      </c>
      <c r="E19" s="11">
        <f t="shared" si="8"/>
        <v>235400.00000000003</v>
      </c>
      <c r="F19" s="11">
        <f t="shared" si="8"/>
        <v>220000</v>
      </c>
      <c r="G19" s="11">
        <f t="shared" si="8"/>
        <v>160600.00000000003</v>
      </c>
      <c r="H19" s="11">
        <f t="shared" si="8"/>
        <v>189200</v>
      </c>
      <c r="I19" s="11">
        <f t="shared" si="8"/>
        <v>132000</v>
      </c>
      <c r="J19" s="11">
        <f t="shared" si="8"/>
        <v>171600</v>
      </c>
      <c r="K19" s="11">
        <f t="shared" si="8"/>
        <v>182600</v>
      </c>
      <c r="L19" s="11">
        <f t="shared" si="8"/>
        <v>247500</v>
      </c>
      <c r="M19" s="11">
        <f t="shared" si="8"/>
        <v>182600</v>
      </c>
      <c r="N19" s="11">
        <f t="shared" si="8"/>
        <v>182600</v>
      </c>
      <c r="O19" s="307">
        <f t="shared" si="5"/>
        <v>2258300</v>
      </c>
      <c r="P19" s="213">
        <f t="shared" si="7"/>
        <v>0.1</v>
      </c>
      <c r="R19" s="26"/>
    </row>
    <row r="20" spans="1:18" x14ac:dyDescent="0.25">
      <c r="A20" s="13" t="s">
        <v>147</v>
      </c>
      <c r="B20" s="307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307">
        <f t="shared" si="5"/>
        <v>0</v>
      </c>
      <c r="P20" s="213">
        <v>0</v>
      </c>
      <c r="R20" s="26"/>
    </row>
    <row r="21" spans="1:18" x14ac:dyDescent="0.25">
      <c r="A21" s="13" t="s">
        <v>358</v>
      </c>
      <c r="B21" s="307">
        <v>2003000</v>
      </c>
      <c r="C21" s="8">
        <f>+$Q$260*C262</f>
        <v>154000</v>
      </c>
      <c r="D21" s="8">
        <f t="shared" ref="D21:N21" si="9">+$Q$260*D262</f>
        <v>200200</v>
      </c>
      <c r="E21" s="8">
        <f t="shared" si="9"/>
        <v>224400</v>
      </c>
      <c r="F21" s="8">
        <f t="shared" si="9"/>
        <v>220000</v>
      </c>
      <c r="G21" s="8">
        <f t="shared" si="9"/>
        <v>167200</v>
      </c>
      <c r="H21" s="8">
        <f t="shared" si="9"/>
        <v>94600</v>
      </c>
      <c r="I21" s="8">
        <f t="shared" si="9"/>
        <v>246400</v>
      </c>
      <c r="J21" s="8">
        <f t="shared" si="9"/>
        <v>226600</v>
      </c>
      <c r="K21" s="8">
        <f t="shared" si="9"/>
        <v>188100</v>
      </c>
      <c r="L21" s="8">
        <f t="shared" si="9"/>
        <v>160600</v>
      </c>
      <c r="M21" s="8">
        <f t="shared" si="9"/>
        <v>160600</v>
      </c>
      <c r="N21" s="8">
        <f t="shared" si="9"/>
        <v>160600</v>
      </c>
      <c r="O21" s="307">
        <f t="shared" si="5"/>
        <v>2203300</v>
      </c>
      <c r="P21" s="213">
        <f t="shared" si="7"/>
        <v>0.1</v>
      </c>
      <c r="R21" s="26"/>
    </row>
    <row r="22" spans="1:18" x14ac:dyDescent="0.25">
      <c r="A22" s="13" t="s">
        <v>359</v>
      </c>
      <c r="B22" s="307">
        <v>8985000</v>
      </c>
      <c r="C22" s="8"/>
      <c r="D22" s="8"/>
      <c r="E22" s="8">
        <v>0</v>
      </c>
      <c r="F22" s="8">
        <v>0</v>
      </c>
      <c r="G22" s="8">
        <v>10000000</v>
      </c>
      <c r="H22" s="8">
        <v>2500000</v>
      </c>
      <c r="I22" s="8"/>
      <c r="J22" s="8"/>
      <c r="K22" s="8"/>
      <c r="L22" s="8"/>
      <c r="M22" s="8"/>
      <c r="N22" s="8"/>
      <c r="O22" s="307">
        <f>SUM(C22:N22)</f>
        <v>12500000</v>
      </c>
      <c r="P22" s="213">
        <f t="shared" si="7"/>
        <v>0.39120756816917085</v>
      </c>
      <c r="R22" s="26"/>
    </row>
    <row r="23" spans="1:18" x14ac:dyDescent="0.25">
      <c r="A23" s="13" t="s">
        <v>360</v>
      </c>
      <c r="B23" s="307">
        <v>14221000</v>
      </c>
      <c r="C23" s="8">
        <v>0</v>
      </c>
      <c r="D23" s="8"/>
      <c r="E23" s="8"/>
      <c r="F23" s="8"/>
      <c r="G23" s="8"/>
      <c r="H23" s="8">
        <v>0</v>
      </c>
      <c r="I23" s="8">
        <v>0</v>
      </c>
      <c r="J23" s="8">
        <v>0</v>
      </c>
      <c r="K23" s="8">
        <v>0</v>
      </c>
      <c r="L23" s="8">
        <v>12500000</v>
      </c>
      <c r="M23" s="8">
        <v>0</v>
      </c>
      <c r="N23" s="8">
        <v>0</v>
      </c>
      <c r="O23" s="307">
        <f>SUM(C23:N23)</f>
        <v>12500000</v>
      </c>
      <c r="P23" s="213">
        <f t="shared" si="7"/>
        <v>-0.12101821250263695</v>
      </c>
      <c r="R23" s="26"/>
    </row>
    <row r="24" spans="1:18" x14ac:dyDescent="0.25">
      <c r="A24" s="13"/>
      <c r="B24" s="30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07"/>
      <c r="P24" s="213"/>
      <c r="R24" s="26"/>
    </row>
    <row r="25" spans="1:18" s="6" customFormat="1" x14ac:dyDescent="0.25">
      <c r="A25" s="18" t="s">
        <v>148</v>
      </c>
      <c r="B25" s="306">
        <f t="shared" ref="B25:O25" si="10">+B26+B29+B39+B44+B42</f>
        <v>214556018</v>
      </c>
      <c r="C25" s="10">
        <f t="shared" si="10"/>
        <v>11560916.6</v>
      </c>
      <c r="D25" s="10">
        <f t="shared" si="10"/>
        <v>22378984.600000001</v>
      </c>
      <c r="E25" s="10">
        <f t="shared" si="10"/>
        <v>21604187.699999999</v>
      </c>
      <c r="F25" s="10">
        <f t="shared" si="10"/>
        <v>17625662.600000001</v>
      </c>
      <c r="G25" s="10">
        <f t="shared" si="10"/>
        <v>15827036.4</v>
      </c>
      <c r="H25" s="10">
        <f t="shared" si="10"/>
        <v>17900523.300000001</v>
      </c>
      <c r="I25" s="10">
        <f t="shared" si="10"/>
        <v>19951856.5</v>
      </c>
      <c r="J25" s="10">
        <f t="shared" si="10"/>
        <v>24250136.100000001</v>
      </c>
      <c r="K25" s="10">
        <f t="shared" si="10"/>
        <v>30647111.100000001</v>
      </c>
      <c r="L25" s="10">
        <f t="shared" si="10"/>
        <v>13357111.1</v>
      </c>
      <c r="M25" s="10">
        <f t="shared" si="10"/>
        <v>11527111.1</v>
      </c>
      <c r="N25" s="10">
        <f t="shared" si="10"/>
        <v>17547111.100000001</v>
      </c>
      <c r="O25" s="306">
        <f t="shared" si="10"/>
        <v>224177748.19999999</v>
      </c>
      <c r="P25" s="208">
        <f>+(O25-B25)/B25</f>
        <v>4.4844839542091001E-2</v>
      </c>
      <c r="R25" s="26"/>
    </row>
    <row r="26" spans="1:18" s="6" customFormat="1" x14ac:dyDescent="0.25">
      <c r="A26" s="18" t="s">
        <v>88</v>
      </c>
      <c r="B26" s="306">
        <f>+B27</f>
        <v>868862</v>
      </c>
      <c r="C26" s="10">
        <f>+C27</f>
        <v>129916.59999999999</v>
      </c>
      <c r="D26" s="10">
        <f t="shared" ref="D26:O26" si="11">+D27</f>
        <v>87984.599999999991</v>
      </c>
      <c r="E26" s="10">
        <f t="shared" si="11"/>
        <v>103187.69999999998</v>
      </c>
      <c r="F26" s="10">
        <f t="shared" si="11"/>
        <v>84662.599999999991</v>
      </c>
      <c r="G26" s="10">
        <f t="shared" si="11"/>
        <v>76036.399999999994</v>
      </c>
      <c r="H26" s="10">
        <f t="shared" si="11"/>
        <v>69523.299999999988</v>
      </c>
      <c r="I26" s="10">
        <f t="shared" si="11"/>
        <v>70856.5</v>
      </c>
      <c r="J26" s="10">
        <f t="shared" si="11"/>
        <v>69136.100000000006</v>
      </c>
      <c r="K26" s="10">
        <f t="shared" si="11"/>
        <v>66111.099999999991</v>
      </c>
      <c r="L26" s="10">
        <f t="shared" si="11"/>
        <v>66111.099999999991</v>
      </c>
      <c r="M26" s="10">
        <f t="shared" si="11"/>
        <v>66111.099999999991</v>
      </c>
      <c r="N26" s="10">
        <f t="shared" si="11"/>
        <v>66111.099999999991</v>
      </c>
      <c r="O26" s="306">
        <f t="shared" si="11"/>
        <v>955748.19999999984</v>
      </c>
      <c r="P26" s="208">
        <f>+(O26-B26)/B26</f>
        <v>9.9999999999999811E-2</v>
      </c>
      <c r="R26" s="26"/>
    </row>
    <row r="27" spans="1:18" x14ac:dyDescent="0.25">
      <c r="A27" s="13" t="s">
        <v>149</v>
      </c>
      <c r="B27" s="307">
        <f>+O264</f>
        <v>868862</v>
      </c>
      <c r="C27" s="8">
        <f>+$Q$264*C266</f>
        <v>129916.59999999999</v>
      </c>
      <c r="D27" s="8">
        <f t="shared" ref="D27:N27" si="12">+$Q$264*D266</f>
        <v>87984.599999999991</v>
      </c>
      <c r="E27" s="8">
        <f t="shared" si="12"/>
        <v>103187.69999999998</v>
      </c>
      <c r="F27" s="8">
        <f t="shared" si="12"/>
        <v>84662.599999999991</v>
      </c>
      <c r="G27" s="8">
        <f t="shared" si="12"/>
        <v>76036.399999999994</v>
      </c>
      <c r="H27" s="8">
        <f t="shared" si="12"/>
        <v>69523.299999999988</v>
      </c>
      <c r="I27" s="8">
        <f t="shared" si="12"/>
        <v>70856.5</v>
      </c>
      <c r="J27" s="8">
        <f t="shared" si="12"/>
        <v>69136.100000000006</v>
      </c>
      <c r="K27" s="8">
        <f t="shared" si="12"/>
        <v>66111.099999999991</v>
      </c>
      <c r="L27" s="8">
        <f t="shared" si="12"/>
        <v>66111.099999999991</v>
      </c>
      <c r="M27" s="8">
        <f t="shared" si="12"/>
        <v>66111.099999999991</v>
      </c>
      <c r="N27" s="8">
        <f t="shared" si="12"/>
        <v>66111.099999999991</v>
      </c>
      <c r="O27" s="307">
        <f t="shared" ref="O27" si="13">SUM(C27:N27)</f>
        <v>955748.19999999984</v>
      </c>
      <c r="P27" s="213">
        <f>+(O27-B27)/B27</f>
        <v>9.9999999999999811E-2</v>
      </c>
      <c r="R27" s="26"/>
    </row>
    <row r="28" spans="1:18" x14ac:dyDescent="0.25">
      <c r="A28" s="13"/>
      <c r="B28" s="30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07"/>
      <c r="P28" s="208"/>
    </row>
    <row r="29" spans="1:18" s="6" customFormat="1" x14ac:dyDescent="0.25">
      <c r="A29" s="18" t="s">
        <v>7</v>
      </c>
      <c r="B29" s="306">
        <f t="shared" ref="B29:O29" si="14">+B30+B33+B34+B37</f>
        <v>189290156</v>
      </c>
      <c r="C29" s="10">
        <f t="shared" si="14"/>
        <v>9558000</v>
      </c>
      <c r="D29" s="10">
        <f t="shared" si="14"/>
        <v>20558000</v>
      </c>
      <c r="E29" s="10">
        <f t="shared" si="14"/>
        <v>17678000</v>
      </c>
      <c r="F29" s="10">
        <f t="shared" si="14"/>
        <v>14658000</v>
      </c>
      <c r="G29" s="10">
        <f t="shared" si="14"/>
        <v>13458000</v>
      </c>
      <c r="H29" s="10">
        <f t="shared" si="14"/>
        <v>16638000</v>
      </c>
      <c r="I29" s="10">
        <f t="shared" si="14"/>
        <v>17858000</v>
      </c>
      <c r="J29" s="10">
        <f t="shared" si="14"/>
        <v>19958000</v>
      </c>
      <c r="K29" s="10">
        <f t="shared" si="14"/>
        <v>25558000</v>
      </c>
      <c r="L29" s="10">
        <f t="shared" si="14"/>
        <v>12358000</v>
      </c>
      <c r="M29" s="10">
        <f t="shared" si="14"/>
        <v>10558000</v>
      </c>
      <c r="N29" s="10">
        <f t="shared" si="14"/>
        <v>13258000</v>
      </c>
      <c r="O29" s="306">
        <f t="shared" si="14"/>
        <v>192096000</v>
      </c>
      <c r="P29" s="369">
        <f t="shared" ref="P29:P36" si="15">+(O29-B29)/B29</f>
        <v>1.482297896146274E-2</v>
      </c>
    </row>
    <row r="30" spans="1:18" x14ac:dyDescent="0.25">
      <c r="A30" s="13" t="s">
        <v>150</v>
      </c>
      <c r="B30" s="306">
        <f>+SUM(B31:B32)</f>
        <v>83786996</v>
      </c>
      <c r="C30" s="8">
        <f t="shared" ref="C30:O30" si="16">SUM(C31:C32)</f>
        <v>7258000</v>
      </c>
      <c r="D30" s="8">
        <f t="shared" si="16"/>
        <v>7258000</v>
      </c>
      <c r="E30" s="8">
        <f t="shared" si="16"/>
        <v>7258000</v>
      </c>
      <c r="F30" s="8">
        <f t="shared" si="16"/>
        <v>7258000</v>
      </c>
      <c r="G30" s="8">
        <f t="shared" si="16"/>
        <v>7258000</v>
      </c>
      <c r="H30" s="8">
        <f t="shared" si="16"/>
        <v>7258000</v>
      </c>
      <c r="I30" s="8">
        <f t="shared" si="16"/>
        <v>7258000</v>
      </c>
      <c r="J30" s="8">
        <f t="shared" si="16"/>
        <v>7258000</v>
      </c>
      <c r="K30" s="8">
        <f t="shared" si="16"/>
        <v>7258000</v>
      </c>
      <c r="L30" s="8">
        <f t="shared" si="16"/>
        <v>7258000</v>
      </c>
      <c r="M30" s="8">
        <f t="shared" si="16"/>
        <v>7258000</v>
      </c>
      <c r="N30" s="8">
        <f t="shared" si="16"/>
        <v>7258000</v>
      </c>
      <c r="O30" s="307">
        <f t="shared" si="16"/>
        <v>87096000</v>
      </c>
      <c r="P30" s="213">
        <f t="shared" si="15"/>
        <v>3.9493049732920366E-2</v>
      </c>
    </row>
    <row r="31" spans="1:18" x14ac:dyDescent="0.25">
      <c r="A31" s="13" t="s">
        <v>674</v>
      </c>
      <c r="B31" s="307">
        <v>75062996</v>
      </c>
      <c r="C31" s="8">
        <v>6500000</v>
      </c>
      <c r="D31" s="8">
        <v>6500000</v>
      </c>
      <c r="E31" s="8">
        <v>6500000</v>
      </c>
      <c r="F31" s="8">
        <v>6500000</v>
      </c>
      <c r="G31" s="8">
        <v>6500000</v>
      </c>
      <c r="H31" s="8">
        <v>6500000</v>
      </c>
      <c r="I31" s="8">
        <v>6500000</v>
      </c>
      <c r="J31" s="8">
        <v>6500000</v>
      </c>
      <c r="K31" s="8">
        <v>6500000</v>
      </c>
      <c r="L31" s="8">
        <v>6500000</v>
      </c>
      <c r="M31" s="8">
        <v>6500000</v>
      </c>
      <c r="N31" s="8">
        <v>6500000</v>
      </c>
      <c r="O31" s="307">
        <f t="shared" ref="O31:O37" si="17">SUM(C31:N31)</f>
        <v>78000000</v>
      </c>
      <c r="P31" s="213">
        <f t="shared" si="15"/>
        <v>3.9127188581708092E-2</v>
      </c>
    </row>
    <row r="32" spans="1:18" x14ac:dyDescent="0.25">
      <c r="A32" s="13" t="s">
        <v>821</v>
      </c>
      <c r="B32" s="307">
        <v>8724000</v>
      </c>
      <c r="C32" s="8">
        <v>758000</v>
      </c>
      <c r="D32" s="8">
        <v>758000</v>
      </c>
      <c r="E32" s="8">
        <v>758000</v>
      </c>
      <c r="F32" s="8">
        <v>758000</v>
      </c>
      <c r="G32" s="8">
        <v>758000</v>
      </c>
      <c r="H32" s="8">
        <v>758000</v>
      </c>
      <c r="I32" s="8">
        <v>758000</v>
      </c>
      <c r="J32" s="8">
        <v>758000</v>
      </c>
      <c r="K32" s="8">
        <v>758000</v>
      </c>
      <c r="L32" s="8">
        <v>758000</v>
      </c>
      <c r="M32" s="8">
        <v>758000</v>
      </c>
      <c r="N32" s="8">
        <v>758000</v>
      </c>
      <c r="O32" s="307">
        <f t="shared" si="17"/>
        <v>9096000</v>
      </c>
      <c r="P32" s="213">
        <f t="shared" si="15"/>
        <v>4.264099037138927E-2</v>
      </c>
    </row>
    <row r="33" spans="1:16" x14ac:dyDescent="0.25">
      <c r="A33" s="13" t="s">
        <v>151</v>
      </c>
      <c r="B33" s="307">
        <v>89000000</v>
      </c>
      <c r="C33" s="8">
        <v>2300000</v>
      </c>
      <c r="D33" s="8">
        <v>13300000</v>
      </c>
      <c r="E33" s="8">
        <f>10420000</f>
        <v>10420000</v>
      </c>
      <c r="F33" s="8">
        <v>7400000</v>
      </c>
      <c r="G33" s="8">
        <v>6200000</v>
      </c>
      <c r="H33" s="8">
        <v>9380000</v>
      </c>
      <c r="I33" s="8">
        <f>10600000</f>
        <v>10600000</v>
      </c>
      <c r="J33" s="8">
        <v>12700000</v>
      </c>
      <c r="K33" s="8">
        <v>7300000</v>
      </c>
      <c r="L33" s="8">
        <v>5100000</v>
      </c>
      <c r="M33" s="8">
        <v>3300000</v>
      </c>
      <c r="N33" s="8">
        <v>6000000</v>
      </c>
      <c r="O33" s="307">
        <f t="shared" si="17"/>
        <v>94000000</v>
      </c>
      <c r="P33" s="213">
        <f t="shared" si="15"/>
        <v>5.6179775280898875E-2</v>
      </c>
    </row>
    <row r="34" spans="1:16" x14ac:dyDescent="0.25">
      <c r="A34" s="13" t="s">
        <v>152</v>
      </c>
      <c r="B34" s="306">
        <f>+SUM(B35:B36)</f>
        <v>16503160</v>
      </c>
      <c r="C34" s="8">
        <f>SUM(C35:C36)</f>
        <v>0</v>
      </c>
      <c r="D34" s="8">
        <f t="shared" ref="D34:N34" si="18">SUM(D35:D36)</f>
        <v>0</v>
      </c>
      <c r="E34" s="8">
        <f t="shared" si="18"/>
        <v>0</v>
      </c>
      <c r="F34" s="8">
        <f t="shared" si="18"/>
        <v>0</v>
      </c>
      <c r="G34" s="8">
        <f t="shared" si="18"/>
        <v>0</v>
      </c>
      <c r="H34" s="8">
        <f t="shared" si="18"/>
        <v>0</v>
      </c>
      <c r="I34" s="8">
        <f t="shared" si="18"/>
        <v>0</v>
      </c>
      <c r="J34" s="8">
        <f t="shared" si="18"/>
        <v>0</v>
      </c>
      <c r="K34" s="8">
        <f t="shared" si="18"/>
        <v>11000000</v>
      </c>
      <c r="L34" s="8">
        <f t="shared" si="18"/>
        <v>0</v>
      </c>
      <c r="M34" s="8">
        <f t="shared" si="18"/>
        <v>0</v>
      </c>
      <c r="N34" s="8">
        <f t="shared" si="18"/>
        <v>0</v>
      </c>
      <c r="O34" s="307">
        <f>SUM(O35:O36)</f>
        <v>11000000</v>
      </c>
      <c r="P34" s="213">
        <f t="shared" si="15"/>
        <v>-0.33346098565365662</v>
      </c>
    </row>
    <row r="35" spans="1:16" x14ac:dyDescent="0.25">
      <c r="A35" s="13" t="s">
        <v>153</v>
      </c>
      <c r="B35" s="307">
        <v>6023160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307">
        <f t="shared" si="17"/>
        <v>0</v>
      </c>
      <c r="P35" s="213">
        <f t="shared" si="15"/>
        <v>-1</v>
      </c>
    </row>
    <row r="36" spans="1:16" x14ac:dyDescent="0.25">
      <c r="A36" s="13" t="s">
        <v>276</v>
      </c>
      <c r="B36" s="307">
        <v>10480000</v>
      </c>
      <c r="C36" s="8"/>
      <c r="D36" s="8"/>
      <c r="E36" s="8"/>
      <c r="F36" s="8"/>
      <c r="G36" s="36">
        <v>0</v>
      </c>
      <c r="H36" s="8"/>
      <c r="I36" s="8"/>
      <c r="J36" s="8"/>
      <c r="K36" s="8">
        <v>11000000</v>
      </c>
      <c r="L36" s="8"/>
      <c r="M36" s="8"/>
      <c r="N36" s="8"/>
      <c r="O36" s="307">
        <f t="shared" si="17"/>
        <v>11000000</v>
      </c>
      <c r="P36" s="213">
        <f t="shared" si="15"/>
        <v>4.9618320610687022E-2</v>
      </c>
    </row>
    <row r="37" spans="1:16" x14ac:dyDescent="0.25">
      <c r="A37" s="13" t="s">
        <v>154</v>
      </c>
      <c r="B37" s="307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307">
        <f t="shared" si="17"/>
        <v>0</v>
      </c>
      <c r="P37" s="213">
        <v>0</v>
      </c>
    </row>
    <row r="38" spans="1:16" x14ac:dyDescent="0.25">
      <c r="A38" s="13"/>
      <c r="B38" s="30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307"/>
      <c r="P38" s="208">
        <v>0</v>
      </c>
    </row>
    <row r="39" spans="1:16" s="6" customFormat="1" x14ac:dyDescent="0.25">
      <c r="A39" s="18" t="s">
        <v>22</v>
      </c>
      <c r="B39" s="306">
        <f>+B40</f>
        <v>22070000</v>
      </c>
      <c r="C39" s="10">
        <f>+C40</f>
        <v>1350000</v>
      </c>
      <c r="D39" s="10">
        <f t="shared" ref="D39:O39" si="19">+D40</f>
        <v>1210000</v>
      </c>
      <c r="E39" s="10">
        <f t="shared" si="19"/>
        <v>3200000</v>
      </c>
      <c r="F39" s="10">
        <f t="shared" si="19"/>
        <v>2260000</v>
      </c>
      <c r="G39" s="10">
        <f t="shared" si="19"/>
        <v>1770000</v>
      </c>
      <c r="H39" s="10">
        <f t="shared" si="19"/>
        <v>670000</v>
      </c>
      <c r="I39" s="10">
        <f t="shared" si="19"/>
        <v>1600000</v>
      </c>
      <c r="J39" s="10">
        <f t="shared" si="19"/>
        <v>3800000</v>
      </c>
      <c r="K39" s="10">
        <f t="shared" si="19"/>
        <v>5000000</v>
      </c>
      <c r="L39" s="10">
        <f t="shared" si="19"/>
        <v>910000</v>
      </c>
      <c r="M39" s="10">
        <f t="shared" si="19"/>
        <v>880000</v>
      </c>
      <c r="N39" s="10">
        <f t="shared" si="19"/>
        <v>4200000</v>
      </c>
      <c r="O39" s="306">
        <f t="shared" si="19"/>
        <v>26850000</v>
      </c>
      <c r="P39" s="208">
        <f>+(O39-B39)/B39</f>
        <v>0.21658359764386045</v>
      </c>
    </row>
    <row r="40" spans="1:16" x14ac:dyDescent="0.25">
      <c r="A40" s="13" t="s">
        <v>155</v>
      </c>
      <c r="B40" s="307">
        <v>22070000</v>
      </c>
      <c r="C40" s="8">
        <v>1350000</v>
      </c>
      <c r="D40" s="8">
        <v>1210000</v>
      </c>
      <c r="E40" s="8">
        <v>3200000</v>
      </c>
      <c r="F40" s="8">
        <v>2260000</v>
      </c>
      <c r="G40" s="8">
        <v>1770000</v>
      </c>
      <c r="H40" s="8">
        <v>670000</v>
      </c>
      <c r="I40" s="8">
        <v>1600000</v>
      </c>
      <c r="J40" s="8">
        <v>3800000</v>
      </c>
      <c r="K40" s="8">
        <v>5000000</v>
      </c>
      <c r="L40" s="8">
        <v>910000</v>
      </c>
      <c r="M40" s="8">
        <v>880000</v>
      </c>
      <c r="N40" s="8">
        <v>4200000</v>
      </c>
      <c r="O40" s="307">
        <f t="shared" ref="O40" si="20">SUM(C40:N40)</f>
        <v>26850000</v>
      </c>
      <c r="P40" s="213">
        <f>+(O40-B40)/B40</f>
        <v>0.21658359764386045</v>
      </c>
    </row>
    <row r="41" spans="1:16" x14ac:dyDescent="0.25">
      <c r="A41" s="13"/>
      <c r="B41" s="30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307"/>
      <c r="P41" s="208"/>
    </row>
    <row r="42" spans="1:16" x14ac:dyDescent="0.25">
      <c r="A42" s="18" t="s">
        <v>362</v>
      </c>
      <c r="B42" s="306">
        <v>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307"/>
      <c r="P42" s="208">
        <v>0</v>
      </c>
    </row>
    <row r="43" spans="1:16" x14ac:dyDescent="0.25">
      <c r="A43" s="13"/>
      <c r="B43" s="30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307"/>
      <c r="P43" s="208">
        <v>0</v>
      </c>
    </row>
    <row r="44" spans="1:16" s="6" customFormat="1" x14ac:dyDescent="0.25">
      <c r="A44" s="18" t="s">
        <v>71</v>
      </c>
      <c r="B44" s="306">
        <f>+B45+B46</f>
        <v>2327000</v>
      </c>
      <c r="C44" s="10">
        <f>+C45+C46</f>
        <v>523000</v>
      </c>
      <c r="D44" s="10">
        <f t="shared" ref="D44:O44" si="21">+D45+D46</f>
        <v>523000</v>
      </c>
      <c r="E44" s="10">
        <f t="shared" si="21"/>
        <v>623000</v>
      </c>
      <c r="F44" s="10">
        <f t="shared" si="21"/>
        <v>623000</v>
      </c>
      <c r="G44" s="10">
        <f t="shared" si="21"/>
        <v>523000</v>
      </c>
      <c r="H44" s="10">
        <f t="shared" si="21"/>
        <v>523000</v>
      </c>
      <c r="I44" s="10">
        <f t="shared" si="21"/>
        <v>423000</v>
      </c>
      <c r="J44" s="10">
        <f t="shared" si="21"/>
        <v>423000</v>
      </c>
      <c r="K44" s="10">
        <f t="shared" si="21"/>
        <v>23000</v>
      </c>
      <c r="L44" s="10">
        <f t="shared" si="21"/>
        <v>23000</v>
      </c>
      <c r="M44" s="10">
        <f t="shared" si="21"/>
        <v>23000</v>
      </c>
      <c r="N44" s="10">
        <f t="shared" si="21"/>
        <v>23000</v>
      </c>
      <c r="O44" s="306">
        <f t="shared" si="21"/>
        <v>4276000</v>
      </c>
      <c r="P44" s="208">
        <f>+(O44-B44)/B44</f>
        <v>0.83755908895573705</v>
      </c>
    </row>
    <row r="45" spans="1:16" x14ac:dyDescent="0.25">
      <c r="A45" s="13" t="s">
        <v>156</v>
      </c>
      <c r="B45" s="307">
        <v>250000</v>
      </c>
      <c r="C45" s="8">
        <f>ROUND(((+$B$45*$B$4)+$B$45)/12,-3)</f>
        <v>23000</v>
      </c>
      <c r="D45" s="8">
        <f t="shared" ref="D45:N45" si="22">ROUND(((+$B$45*$B$4)+$B$45)/12,-3)</f>
        <v>23000</v>
      </c>
      <c r="E45" s="8">
        <f t="shared" si="22"/>
        <v>23000</v>
      </c>
      <c r="F45" s="8">
        <f t="shared" si="22"/>
        <v>23000</v>
      </c>
      <c r="G45" s="8">
        <f t="shared" si="22"/>
        <v>23000</v>
      </c>
      <c r="H45" s="8">
        <f t="shared" si="22"/>
        <v>23000</v>
      </c>
      <c r="I45" s="8">
        <f t="shared" si="22"/>
        <v>23000</v>
      </c>
      <c r="J45" s="8">
        <f t="shared" si="22"/>
        <v>23000</v>
      </c>
      <c r="K45" s="8">
        <f t="shared" si="22"/>
        <v>23000</v>
      </c>
      <c r="L45" s="8">
        <f t="shared" si="22"/>
        <v>23000</v>
      </c>
      <c r="M45" s="8">
        <f t="shared" si="22"/>
        <v>23000</v>
      </c>
      <c r="N45" s="8">
        <f t="shared" si="22"/>
        <v>23000</v>
      </c>
      <c r="O45" s="307">
        <f>SUM(C45:N45)</f>
        <v>276000</v>
      </c>
      <c r="P45" s="213">
        <f>+(O45-B45)/B45</f>
        <v>0.104</v>
      </c>
    </row>
    <row r="46" spans="1:16" x14ac:dyDescent="0.25">
      <c r="A46" s="13" t="s">
        <v>157</v>
      </c>
      <c r="B46" s="306">
        <f t="shared" ref="B46:O46" si="23">SUM(B47:B49)</f>
        <v>2077000</v>
      </c>
      <c r="C46" s="10">
        <f t="shared" si="23"/>
        <v>500000</v>
      </c>
      <c r="D46" s="10">
        <f t="shared" si="23"/>
        <v>500000</v>
      </c>
      <c r="E46" s="10">
        <f t="shared" si="23"/>
        <v>600000</v>
      </c>
      <c r="F46" s="10">
        <f t="shared" si="23"/>
        <v>600000</v>
      </c>
      <c r="G46" s="10">
        <f t="shared" si="23"/>
        <v>500000</v>
      </c>
      <c r="H46" s="10">
        <f t="shared" si="23"/>
        <v>500000</v>
      </c>
      <c r="I46" s="10">
        <f t="shared" si="23"/>
        <v>400000</v>
      </c>
      <c r="J46" s="10">
        <f t="shared" si="23"/>
        <v>400000</v>
      </c>
      <c r="K46" s="10">
        <f t="shared" si="23"/>
        <v>0</v>
      </c>
      <c r="L46" s="10">
        <f t="shared" si="23"/>
        <v>0</v>
      </c>
      <c r="M46" s="10">
        <f t="shared" si="23"/>
        <v>0</v>
      </c>
      <c r="N46" s="10">
        <f t="shared" si="23"/>
        <v>0</v>
      </c>
      <c r="O46" s="306">
        <f t="shared" si="23"/>
        <v>4000000</v>
      </c>
      <c r="P46" s="213">
        <f>+(O46-B46)/B46</f>
        <v>0.92585459797785263</v>
      </c>
    </row>
    <row r="47" spans="1:16" x14ac:dyDescent="0.25">
      <c r="A47" s="13" t="s">
        <v>361</v>
      </c>
      <c r="B47" s="307">
        <v>147000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307"/>
      <c r="P47" s="213">
        <f>+(O47-B47)/B47</f>
        <v>-1</v>
      </c>
    </row>
    <row r="48" spans="1:16" ht="11" thickBot="1" x14ac:dyDescent="0.3">
      <c r="A48" s="22" t="s">
        <v>363</v>
      </c>
      <c r="B48" s="327">
        <v>1930000</v>
      </c>
      <c r="C48" s="23">
        <v>500000</v>
      </c>
      <c r="D48" s="23">
        <v>500000</v>
      </c>
      <c r="E48" s="23">
        <v>600000</v>
      </c>
      <c r="F48" s="23">
        <v>600000</v>
      </c>
      <c r="G48" s="23">
        <v>500000</v>
      </c>
      <c r="H48" s="23">
        <v>500000</v>
      </c>
      <c r="I48" s="23">
        <v>400000</v>
      </c>
      <c r="J48" s="23">
        <v>400000</v>
      </c>
      <c r="K48" s="23">
        <v>0</v>
      </c>
      <c r="L48" s="23">
        <v>0</v>
      </c>
      <c r="M48" s="23">
        <v>0</v>
      </c>
      <c r="N48" s="23">
        <v>0</v>
      </c>
      <c r="O48" s="327">
        <f>SUM(C48:N48)</f>
        <v>4000000</v>
      </c>
      <c r="P48" s="214">
        <f>+(O48-B48)/B48</f>
        <v>1.072538860103627</v>
      </c>
    </row>
    <row r="49" spans="1:21" x14ac:dyDescent="0.25">
      <c r="A49" s="209"/>
      <c r="B49" s="210">
        <v>0</v>
      </c>
      <c r="C49" s="210"/>
      <c r="D49" s="210">
        <f>(+$B$49/6)</f>
        <v>0</v>
      </c>
      <c r="E49" s="210"/>
      <c r="F49" s="210">
        <f>(+$B$49/6)</f>
        <v>0</v>
      </c>
      <c r="G49" s="210"/>
      <c r="H49" s="210">
        <f>(+$B$49/6)</f>
        <v>0</v>
      </c>
      <c r="I49" s="210"/>
      <c r="J49" s="210">
        <f>(+$B$49/6)</f>
        <v>0</v>
      </c>
      <c r="K49" s="210"/>
      <c r="L49" s="210">
        <f>(+$B$49/6)</f>
        <v>0</v>
      </c>
      <c r="M49" s="210"/>
      <c r="N49" s="210">
        <f>(+$B$49/6)</f>
        <v>0</v>
      </c>
      <c r="O49" s="210">
        <f>SUM(C49:N49)</f>
        <v>0</v>
      </c>
      <c r="P49" s="209"/>
    </row>
    <row r="50" spans="1:21" s="6" customFormat="1" ht="11" thickBot="1" x14ac:dyDescent="0.3">
      <c r="A50" s="80" t="s">
        <v>419</v>
      </c>
      <c r="B50" s="211">
        <v>4.2000000000000003E-2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</row>
    <row r="51" spans="1:21" s="6" customFormat="1" ht="15" thickBot="1" x14ac:dyDescent="0.3">
      <c r="A51" s="160"/>
      <c r="B51" s="69" t="s">
        <v>509</v>
      </c>
      <c r="C51" s="69" t="s">
        <v>159</v>
      </c>
      <c r="D51" s="69" t="s">
        <v>160</v>
      </c>
      <c r="E51" s="69" t="s">
        <v>161</v>
      </c>
      <c r="F51" s="69" t="s">
        <v>162</v>
      </c>
      <c r="G51" s="69" t="s">
        <v>163</v>
      </c>
      <c r="H51" s="69" t="s">
        <v>164</v>
      </c>
      <c r="I51" s="69" t="s">
        <v>165</v>
      </c>
      <c r="J51" s="69" t="s">
        <v>166</v>
      </c>
      <c r="K51" s="69" t="s">
        <v>167</v>
      </c>
      <c r="L51" s="69" t="s">
        <v>168</v>
      </c>
      <c r="M51" s="69" t="s">
        <v>169</v>
      </c>
      <c r="N51" s="69" t="s">
        <v>170</v>
      </c>
      <c r="O51" s="69" t="s">
        <v>510</v>
      </c>
      <c r="P51" s="212" t="s">
        <v>511</v>
      </c>
      <c r="T51" s="6" t="s">
        <v>863</v>
      </c>
    </row>
    <row r="52" spans="1:21" s="6" customFormat="1" x14ac:dyDescent="0.25">
      <c r="A52" s="18" t="s">
        <v>112</v>
      </c>
      <c r="B52" s="246">
        <f t="shared" ref="B52:O52" si="24">+B53+B228</f>
        <v>346872988</v>
      </c>
      <c r="C52" s="28">
        <f t="shared" si="24"/>
        <v>40069891</v>
      </c>
      <c r="D52" s="28">
        <f t="shared" si="24"/>
        <v>27772870</v>
      </c>
      <c r="E52" s="28">
        <f t="shared" si="24"/>
        <v>35668076.160666667</v>
      </c>
      <c r="F52" s="28">
        <f t="shared" si="24"/>
        <v>30816940</v>
      </c>
      <c r="G52" s="28">
        <f t="shared" si="24"/>
        <v>39930944</v>
      </c>
      <c r="H52" s="28">
        <f t="shared" si="24"/>
        <v>30451454.160666667</v>
      </c>
      <c r="I52" s="28">
        <f t="shared" si="24"/>
        <v>30610735</v>
      </c>
      <c r="J52" s="28">
        <f t="shared" si="24"/>
        <v>30629820</v>
      </c>
      <c r="K52" s="28">
        <f t="shared" si="24"/>
        <v>36587554.160666667</v>
      </c>
      <c r="L52" s="28">
        <f t="shared" si="24"/>
        <v>27982015</v>
      </c>
      <c r="M52" s="28">
        <f t="shared" si="24"/>
        <v>45156555</v>
      </c>
      <c r="N52" s="28">
        <f t="shared" si="24"/>
        <v>25262555</v>
      </c>
      <c r="O52" s="246">
        <f t="shared" si="24"/>
        <v>400939409.48199999</v>
      </c>
      <c r="P52" s="369">
        <f t="shared" ref="P52:P54" si="25">+(O52-B52)/B52</f>
        <v>0.15586806512013554</v>
      </c>
      <c r="R52" s="6" t="s">
        <v>826</v>
      </c>
      <c r="S52" s="14">
        <f>+O233</f>
        <v>26105000</v>
      </c>
      <c r="T52" s="14">
        <f>+O52-S57</f>
        <v>336765743.986</v>
      </c>
      <c r="U52" s="14">
        <f>+O52-B52</f>
        <v>54066421.481999993</v>
      </c>
    </row>
    <row r="53" spans="1:21" s="6" customFormat="1" x14ac:dyDescent="0.25">
      <c r="A53" s="18" t="s">
        <v>113</v>
      </c>
      <c r="B53" s="246">
        <f t="shared" ref="B53:O53" si="26">+B54+B75+B80+B84+B88+B96+B105+B153+B155+B169+B183+B187+B190</f>
        <v>337337988</v>
      </c>
      <c r="C53" s="28">
        <f t="shared" si="26"/>
        <v>37149891</v>
      </c>
      <c r="D53" s="28">
        <f t="shared" si="26"/>
        <v>24925870</v>
      </c>
      <c r="E53" s="28">
        <f t="shared" si="26"/>
        <v>32892076.160666667</v>
      </c>
      <c r="F53" s="28">
        <f t="shared" si="26"/>
        <v>28111940</v>
      </c>
      <c r="G53" s="28">
        <f t="shared" si="26"/>
        <v>37297944</v>
      </c>
      <c r="H53" s="28">
        <f t="shared" si="26"/>
        <v>27889454.160666667</v>
      </c>
      <c r="I53" s="28">
        <f t="shared" si="26"/>
        <v>28119735</v>
      </c>
      <c r="J53" s="28">
        <f t="shared" si="26"/>
        <v>28210820</v>
      </c>
      <c r="K53" s="28">
        <f t="shared" si="26"/>
        <v>34239554.160666667</v>
      </c>
      <c r="L53" s="28">
        <f t="shared" si="26"/>
        <v>25705015</v>
      </c>
      <c r="M53" s="28">
        <f t="shared" si="26"/>
        <v>42951555</v>
      </c>
      <c r="N53" s="28">
        <f t="shared" si="26"/>
        <v>23128555</v>
      </c>
      <c r="O53" s="246">
        <f t="shared" si="26"/>
        <v>370622409.48199999</v>
      </c>
      <c r="P53" s="208">
        <f t="shared" si="25"/>
        <v>9.8667872181653002E-2</v>
      </c>
      <c r="R53" s="6" t="s">
        <v>827</v>
      </c>
      <c r="S53" s="14">
        <v>12500000</v>
      </c>
      <c r="T53" s="345">
        <f>+(T52-B52)/B52</f>
        <v>-2.9138169772966002E-2</v>
      </c>
    </row>
    <row r="54" spans="1:21" s="6" customFormat="1" x14ac:dyDescent="0.25">
      <c r="A54" s="18" t="s">
        <v>126</v>
      </c>
      <c r="B54" s="246">
        <f t="shared" ref="B54:O54" si="27">SUM(B55:B74)</f>
        <v>86597500</v>
      </c>
      <c r="C54" s="28">
        <f t="shared" si="27"/>
        <v>8798500</v>
      </c>
      <c r="D54" s="28">
        <f t="shared" si="27"/>
        <v>7548500</v>
      </c>
      <c r="E54" s="28">
        <f t="shared" si="27"/>
        <v>7473500</v>
      </c>
      <c r="F54" s="28">
        <f t="shared" si="27"/>
        <v>7498500</v>
      </c>
      <c r="G54" s="28">
        <f t="shared" si="27"/>
        <v>7498500</v>
      </c>
      <c r="H54" s="28">
        <f t="shared" si="27"/>
        <v>7473500</v>
      </c>
      <c r="I54" s="28">
        <f t="shared" si="27"/>
        <v>7473500</v>
      </c>
      <c r="J54" s="28">
        <f t="shared" si="27"/>
        <v>7473500</v>
      </c>
      <c r="K54" s="28">
        <f t="shared" si="27"/>
        <v>7473500</v>
      </c>
      <c r="L54" s="28">
        <f t="shared" si="27"/>
        <v>7473500</v>
      </c>
      <c r="M54" s="28">
        <f t="shared" si="27"/>
        <v>7473500</v>
      </c>
      <c r="N54" s="28">
        <f t="shared" si="27"/>
        <v>7206500</v>
      </c>
      <c r="O54" s="392">
        <f t="shared" si="27"/>
        <v>90865000</v>
      </c>
      <c r="P54" s="208">
        <f t="shared" si="25"/>
        <v>4.9279713617598662E-2</v>
      </c>
      <c r="Q54" s="14"/>
      <c r="R54" s="6" t="s">
        <v>561</v>
      </c>
      <c r="S54" s="14">
        <v>11000000</v>
      </c>
    </row>
    <row r="55" spans="1:21" s="6" customFormat="1" x14ac:dyDescent="0.25">
      <c r="A55" s="13" t="s">
        <v>93</v>
      </c>
      <c r="B55" s="307">
        <v>12000000</v>
      </c>
      <c r="C55" s="17">
        <f>+'[1]PROYECC NOMINA 5,5% PRIVADA'!$E$8</f>
        <v>1055000</v>
      </c>
      <c r="D55" s="17">
        <f>+'[1]PROYECC NOMINA 5,5% PRIVADA'!$E$8</f>
        <v>1055000</v>
      </c>
      <c r="E55" s="17">
        <f>+'[1]PROYECC NOMINA 5,5% PRIVADA'!$E$8</f>
        <v>1055000</v>
      </c>
      <c r="F55" s="17">
        <f>+'[1]PROYECC NOMINA 5,5% PRIVADA'!$E$8</f>
        <v>1055000</v>
      </c>
      <c r="G55" s="17">
        <f>+'[1]PROYECC NOMINA 5,5% PRIVADA'!$E$8</f>
        <v>1055000</v>
      </c>
      <c r="H55" s="17">
        <f>+'[1]PROYECC NOMINA 5,5% PRIVADA'!$E$8</f>
        <v>1055000</v>
      </c>
      <c r="I55" s="17">
        <f>+'[1]PROYECC NOMINA 5,5% PRIVADA'!$E$8</f>
        <v>1055000</v>
      </c>
      <c r="J55" s="17">
        <f>+'[1]PROYECC NOMINA 5,5% PRIVADA'!$E$8</f>
        <v>1055000</v>
      </c>
      <c r="K55" s="17">
        <f>+'[1]PROYECC NOMINA 5,5% PRIVADA'!$E$8</f>
        <v>1055000</v>
      </c>
      <c r="L55" s="17">
        <f>+'[1]PROYECC NOMINA 5,5% PRIVADA'!$E$8</f>
        <v>1055000</v>
      </c>
      <c r="M55" s="17">
        <f>+'[1]PROYECC NOMINA 5,5% PRIVADA'!$E$8</f>
        <v>1055000</v>
      </c>
      <c r="N55" s="17">
        <f>+'[1]PROYECC NOMINA 5,5% PRIVADA'!$E$8</f>
        <v>1055000</v>
      </c>
      <c r="O55" s="393">
        <f>SUM(C55:N55)</f>
        <v>12660000</v>
      </c>
      <c r="P55" s="308">
        <f t="shared" ref="P55:P73" si="28">+(O55-B55)/B55</f>
        <v>5.5E-2</v>
      </c>
    </row>
    <row r="56" spans="1:21" s="6" customFormat="1" x14ac:dyDescent="0.25">
      <c r="A56" s="13" t="s">
        <v>540</v>
      </c>
      <c r="B56" s="307">
        <v>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393">
        <f t="shared" ref="O56:O74" si="29">SUM(C56:N56)</f>
        <v>0</v>
      </c>
      <c r="P56" s="308">
        <v>0</v>
      </c>
      <c r="R56" s="6" t="s">
        <v>828</v>
      </c>
      <c r="S56" s="14">
        <f>+B52*B50</f>
        <v>14568665.496000001</v>
      </c>
    </row>
    <row r="57" spans="1:21" s="6" customFormat="1" x14ac:dyDescent="0.25">
      <c r="A57" s="13" t="s">
        <v>95</v>
      </c>
      <c r="B57" s="307">
        <v>998000</v>
      </c>
      <c r="C57" s="17">
        <f>+'[1]PROYECC NOMINA 5,5% PRIVADA'!$D$8</f>
        <v>88000</v>
      </c>
      <c r="D57" s="17">
        <f>+'[1]PROYECC NOMINA 5,5% PRIVADA'!$D$8</f>
        <v>88000</v>
      </c>
      <c r="E57" s="17">
        <f>+'[1]PROYECC NOMINA 5,5% PRIVADA'!$D$8</f>
        <v>88000</v>
      </c>
      <c r="F57" s="17">
        <f>+'[1]PROYECC NOMINA 5,5% PRIVADA'!$D$8</f>
        <v>88000</v>
      </c>
      <c r="G57" s="17">
        <f>+'[1]PROYECC NOMINA 5,5% PRIVADA'!$D$8</f>
        <v>88000</v>
      </c>
      <c r="H57" s="17">
        <f>+'[1]PROYECC NOMINA 5,5% PRIVADA'!$D$8</f>
        <v>88000</v>
      </c>
      <c r="I57" s="17">
        <f>+'[1]PROYECC NOMINA 5,5% PRIVADA'!$D$8</f>
        <v>88000</v>
      </c>
      <c r="J57" s="17">
        <f>+'[1]PROYECC NOMINA 5,5% PRIVADA'!$D$8</f>
        <v>88000</v>
      </c>
      <c r="K57" s="17">
        <f>+'[1]PROYECC NOMINA 5,5% PRIVADA'!$D$8</f>
        <v>88000</v>
      </c>
      <c r="L57" s="17">
        <f>+'[1]PROYECC NOMINA 5,5% PRIVADA'!$D$8</f>
        <v>88000</v>
      </c>
      <c r="M57" s="17">
        <f>+'[1]PROYECC NOMINA 5,5% PRIVADA'!$D$8</f>
        <v>88000</v>
      </c>
      <c r="N57" s="17">
        <f>+'[1]PROYECC NOMINA 5,5% PRIVADA'!$D$8</f>
        <v>88000</v>
      </c>
      <c r="O57" s="393">
        <f t="shared" si="29"/>
        <v>1056000</v>
      </c>
      <c r="P57" s="308">
        <f t="shared" si="28"/>
        <v>5.8116232464929862E-2</v>
      </c>
      <c r="S57" s="14">
        <f>+S52+S53+S54+S56</f>
        <v>64173665.495999999</v>
      </c>
    </row>
    <row r="58" spans="1:21" s="6" customFormat="1" x14ac:dyDescent="0.25">
      <c r="A58" s="13" t="s">
        <v>96</v>
      </c>
      <c r="B58" s="307">
        <v>1083000</v>
      </c>
      <c r="C58" s="17">
        <f>+'[1]PROYECC NOMINA 5,5% PRIVADA'!$G$8</f>
        <v>95000</v>
      </c>
      <c r="D58" s="17">
        <f>+'[1]PROYECC NOMINA 5,5% PRIVADA'!$G$8</f>
        <v>95000</v>
      </c>
      <c r="E58" s="17">
        <f>+'[1]PROYECC NOMINA 5,5% PRIVADA'!$G$8</f>
        <v>95000</v>
      </c>
      <c r="F58" s="17">
        <f>+'[1]PROYECC NOMINA 5,5% PRIVADA'!$G$8</f>
        <v>95000</v>
      </c>
      <c r="G58" s="17">
        <f>+'[1]PROYECC NOMINA 5,5% PRIVADA'!$G$8</f>
        <v>95000</v>
      </c>
      <c r="H58" s="17">
        <f>+'[1]PROYECC NOMINA 5,5% PRIVADA'!$G$8</f>
        <v>95000</v>
      </c>
      <c r="I58" s="17">
        <f>+'[1]PROYECC NOMINA 5,5% PRIVADA'!$G$8</f>
        <v>95000</v>
      </c>
      <c r="J58" s="17">
        <f>+'[1]PROYECC NOMINA 5,5% PRIVADA'!$G$8</f>
        <v>95000</v>
      </c>
      <c r="K58" s="17">
        <f>+'[1]PROYECC NOMINA 5,5% PRIVADA'!$G$8</f>
        <v>95000</v>
      </c>
      <c r="L58" s="17">
        <f>+'[1]PROYECC NOMINA 5,5% PRIVADA'!$G$8</f>
        <v>95000</v>
      </c>
      <c r="M58" s="17">
        <f>+'[1]PROYECC NOMINA 5,5% PRIVADA'!$G$8</f>
        <v>95000</v>
      </c>
      <c r="N58" s="17">
        <f>+'[1]PROYECC NOMINA 5,5% PRIVADA'!$G$8</f>
        <v>95000</v>
      </c>
      <c r="O58" s="393">
        <f t="shared" si="29"/>
        <v>1140000</v>
      </c>
      <c r="P58" s="308">
        <f t="shared" si="28"/>
        <v>5.2631578947368418E-2</v>
      </c>
    </row>
    <row r="59" spans="1:21" s="6" customFormat="1" x14ac:dyDescent="0.25">
      <c r="A59" s="13" t="s">
        <v>97</v>
      </c>
      <c r="B59" s="307">
        <v>130000</v>
      </c>
      <c r="C59" s="17">
        <f>+'[1]PROYECC NOMINA 5,5% PRIVADA'!$H$8</f>
        <v>11000</v>
      </c>
      <c r="D59" s="17">
        <f>+'[1]PROYECC NOMINA 5,5% PRIVADA'!$H$8</f>
        <v>11000</v>
      </c>
      <c r="E59" s="17">
        <f>+'[1]PROYECC NOMINA 5,5% PRIVADA'!$H$8</f>
        <v>11000</v>
      </c>
      <c r="F59" s="17">
        <f>+'[1]PROYECC NOMINA 5,5% PRIVADA'!$H$8</f>
        <v>11000</v>
      </c>
      <c r="G59" s="17">
        <f>+'[1]PROYECC NOMINA 5,5% PRIVADA'!$H$8</f>
        <v>11000</v>
      </c>
      <c r="H59" s="17">
        <f>+'[1]PROYECC NOMINA 5,5% PRIVADA'!$H$8</f>
        <v>11000</v>
      </c>
      <c r="I59" s="17">
        <f>+'[1]PROYECC NOMINA 5,5% PRIVADA'!$H$8</f>
        <v>11000</v>
      </c>
      <c r="J59" s="17">
        <f>+'[1]PROYECC NOMINA 5,5% PRIVADA'!$H$8</f>
        <v>11000</v>
      </c>
      <c r="K59" s="17">
        <f>+'[1]PROYECC NOMINA 5,5% PRIVADA'!$H$8</f>
        <v>11000</v>
      </c>
      <c r="L59" s="17">
        <f>+'[1]PROYECC NOMINA 5,5% PRIVADA'!$H$8</f>
        <v>11000</v>
      </c>
      <c r="M59" s="17">
        <f>+'[1]PROYECC NOMINA 5,5% PRIVADA'!$H$8</f>
        <v>11000</v>
      </c>
      <c r="N59" s="17">
        <f>+'[1]PROYECC NOMINA 5,5% PRIVADA'!$H$8</f>
        <v>11000</v>
      </c>
      <c r="O59" s="393">
        <f t="shared" si="29"/>
        <v>132000</v>
      </c>
      <c r="P59" s="308">
        <f t="shared" si="28"/>
        <v>1.5384615384615385E-2</v>
      </c>
    </row>
    <row r="60" spans="1:21" s="6" customFormat="1" x14ac:dyDescent="0.25">
      <c r="A60" s="13" t="s">
        <v>98</v>
      </c>
      <c r="B60" s="307">
        <v>1083000</v>
      </c>
      <c r="C60" s="17">
        <f>+'[1]PROYECC NOMINA 5,5% PRIVADA'!$I$8</f>
        <v>95000</v>
      </c>
      <c r="D60" s="17">
        <f>+'[1]PROYECC NOMINA 5,5% PRIVADA'!$I$8</f>
        <v>95000</v>
      </c>
      <c r="E60" s="17">
        <f>+'[1]PROYECC NOMINA 5,5% PRIVADA'!$I$8</f>
        <v>95000</v>
      </c>
      <c r="F60" s="17">
        <f>+'[1]PROYECC NOMINA 5,5% PRIVADA'!$I$8</f>
        <v>95000</v>
      </c>
      <c r="G60" s="17">
        <f>+'[1]PROYECC NOMINA 5,5% PRIVADA'!$I$8</f>
        <v>95000</v>
      </c>
      <c r="H60" s="17">
        <f>+'[1]PROYECC NOMINA 5,5% PRIVADA'!$I$8</f>
        <v>95000</v>
      </c>
      <c r="I60" s="17">
        <f>+'[1]PROYECC NOMINA 5,5% PRIVADA'!$I$8</f>
        <v>95000</v>
      </c>
      <c r="J60" s="17">
        <f>+'[1]PROYECC NOMINA 5,5% PRIVADA'!$I$8</f>
        <v>95000</v>
      </c>
      <c r="K60" s="17">
        <f>+'[1]PROYECC NOMINA 5,5% PRIVADA'!$I$8</f>
        <v>95000</v>
      </c>
      <c r="L60" s="17">
        <f>+'[1]PROYECC NOMINA 5,5% PRIVADA'!$I$8</f>
        <v>95000</v>
      </c>
      <c r="M60" s="17">
        <f>+'[1]PROYECC NOMINA 5,5% PRIVADA'!$I$8</f>
        <v>95000</v>
      </c>
      <c r="N60" s="17">
        <f>+'[1]PROYECC NOMINA 5,5% PRIVADA'!$I$8</f>
        <v>95000</v>
      </c>
      <c r="O60" s="393">
        <f t="shared" si="29"/>
        <v>1140000</v>
      </c>
      <c r="P60" s="308">
        <f t="shared" si="28"/>
        <v>5.2631578947368418E-2</v>
      </c>
    </row>
    <row r="61" spans="1:21" s="6" customFormat="1" x14ac:dyDescent="0.25">
      <c r="A61" s="13" t="s">
        <v>99</v>
      </c>
      <c r="B61" s="307">
        <v>500000</v>
      </c>
      <c r="C61" s="17">
        <f>+'[1]PROYECC NOMINA 5,5% PRIVADA'!$J$8</f>
        <v>66000</v>
      </c>
      <c r="D61" s="17">
        <f>+'[1]PROYECC NOMINA 5,5% PRIVADA'!$J$8</f>
        <v>66000</v>
      </c>
      <c r="E61" s="17">
        <f>+'[1]PROYECC NOMINA 5,5% PRIVADA'!$J$8</f>
        <v>66000</v>
      </c>
      <c r="F61" s="17">
        <f>+'[1]PROYECC NOMINA 5,5% PRIVADA'!$J$8</f>
        <v>66000</v>
      </c>
      <c r="G61" s="17">
        <f>+'[1]PROYECC NOMINA 5,5% PRIVADA'!$J$8</f>
        <v>66000</v>
      </c>
      <c r="H61" s="17">
        <f>+'[1]PROYECC NOMINA 5,5% PRIVADA'!$J$8</f>
        <v>66000</v>
      </c>
      <c r="I61" s="17">
        <f>+'[1]PROYECC NOMINA 5,5% PRIVADA'!$J$8</f>
        <v>66000</v>
      </c>
      <c r="J61" s="17">
        <f>+'[1]PROYECC NOMINA 5,5% PRIVADA'!$J$8</f>
        <v>66000</v>
      </c>
      <c r="K61" s="17">
        <f>+'[1]PROYECC NOMINA 5,5% PRIVADA'!$J$8</f>
        <v>66000</v>
      </c>
      <c r="L61" s="17">
        <f>+'[1]PROYECC NOMINA 5,5% PRIVADA'!$J$8</f>
        <v>66000</v>
      </c>
      <c r="M61" s="17">
        <f>+'[1]PROYECC NOMINA 5,5% PRIVADA'!$J$8</f>
        <v>66000</v>
      </c>
      <c r="N61" s="17">
        <f>+'[1]PROYECC NOMINA 5,5% PRIVADA'!$J$8</f>
        <v>66000</v>
      </c>
      <c r="O61" s="393">
        <f t="shared" si="29"/>
        <v>792000</v>
      </c>
      <c r="P61" s="308">
        <f t="shared" si="28"/>
        <v>0.58399999999999996</v>
      </c>
    </row>
    <row r="62" spans="1:21" s="6" customFormat="1" x14ac:dyDescent="0.25">
      <c r="A62" s="13" t="s">
        <v>127</v>
      </c>
      <c r="B62" s="307">
        <v>26850000</v>
      </c>
      <c r="C62" s="17">
        <v>2237500</v>
      </c>
      <c r="D62" s="17">
        <v>2237500</v>
      </c>
      <c r="E62" s="17">
        <v>2237500</v>
      </c>
      <c r="F62" s="17">
        <v>2237500</v>
      </c>
      <c r="G62" s="17">
        <v>2237500</v>
      </c>
      <c r="H62" s="17">
        <v>2237500</v>
      </c>
      <c r="I62" s="17">
        <v>2237500</v>
      </c>
      <c r="J62" s="17">
        <v>2237500</v>
      </c>
      <c r="K62" s="17">
        <v>2237500</v>
      </c>
      <c r="L62" s="17">
        <v>2237500</v>
      </c>
      <c r="M62" s="17">
        <v>2237500</v>
      </c>
      <c r="N62" s="17">
        <v>2237500</v>
      </c>
      <c r="O62" s="393">
        <f t="shared" si="29"/>
        <v>26850000</v>
      </c>
      <c r="P62" s="308">
        <f t="shared" si="28"/>
        <v>0</v>
      </c>
    </row>
    <row r="63" spans="1:21" s="6" customFormat="1" x14ac:dyDescent="0.25">
      <c r="A63" s="13" t="s">
        <v>100</v>
      </c>
      <c r="B63" s="307">
        <v>38000000</v>
      </c>
      <c r="C63" s="17">
        <v>3166000</v>
      </c>
      <c r="D63" s="17">
        <v>3166000</v>
      </c>
      <c r="E63" s="17">
        <v>3166000</v>
      </c>
      <c r="F63" s="17">
        <v>3166000</v>
      </c>
      <c r="G63" s="17">
        <v>3166000</v>
      </c>
      <c r="H63" s="17">
        <v>3166000</v>
      </c>
      <c r="I63" s="17">
        <v>3166000</v>
      </c>
      <c r="J63" s="17">
        <v>3166000</v>
      </c>
      <c r="K63" s="17">
        <v>3166000</v>
      </c>
      <c r="L63" s="17">
        <v>3166000</v>
      </c>
      <c r="M63" s="17">
        <v>3166000</v>
      </c>
      <c r="N63" s="17">
        <v>3174000</v>
      </c>
      <c r="O63" s="393">
        <f t="shared" si="29"/>
        <v>38000000</v>
      </c>
      <c r="P63" s="308">
        <f t="shared" si="28"/>
        <v>0</v>
      </c>
    </row>
    <row r="64" spans="1:21" s="6" customFormat="1" x14ac:dyDescent="0.25">
      <c r="A64" s="13" t="s">
        <v>795</v>
      </c>
      <c r="B64" s="307">
        <v>0</v>
      </c>
      <c r="C64" s="16"/>
      <c r="D64" s="16"/>
      <c r="E64" s="16"/>
      <c r="F64" s="16"/>
      <c r="G64" s="16"/>
      <c r="H64" s="17">
        <v>0</v>
      </c>
      <c r="I64" s="16"/>
      <c r="J64" s="16"/>
      <c r="K64" s="16"/>
      <c r="L64" s="16"/>
      <c r="M64" s="16"/>
      <c r="N64" s="17">
        <v>0</v>
      </c>
      <c r="O64" s="393">
        <f t="shared" si="29"/>
        <v>0</v>
      </c>
      <c r="P64" s="308">
        <v>0</v>
      </c>
    </row>
    <row r="65" spans="1:16" s="6" customFormat="1" x14ac:dyDescent="0.25">
      <c r="A65" s="13" t="s">
        <v>773</v>
      </c>
      <c r="B65" s="307">
        <v>1800000</v>
      </c>
      <c r="C65" s="17"/>
      <c r="D65" s="17">
        <v>350000</v>
      </c>
      <c r="E65" s="17">
        <v>275000</v>
      </c>
      <c r="F65" s="17">
        <v>300000</v>
      </c>
      <c r="G65" s="17">
        <v>300000</v>
      </c>
      <c r="H65" s="17">
        <v>275000</v>
      </c>
      <c r="I65" s="17">
        <v>275000</v>
      </c>
      <c r="J65" s="17">
        <v>275000</v>
      </c>
      <c r="K65" s="17">
        <v>275000</v>
      </c>
      <c r="L65" s="17">
        <v>275000</v>
      </c>
      <c r="M65" s="17">
        <v>275000</v>
      </c>
      <c r="N65" s="17">
        <v>0</v>
      </c>
      <c r="O65" s="393">
        <f t="shared" si="29"/>
        <v>2875000</v>
      </c>
      <c r="P65" s="213">
        <v>1</v>
      </c>
    </row>
    <row r="66" spans="1:16" s="6" customFormat="1" x14ac:dyDescent="0.25">
      <c r="A66" s="13" t="s">
        <v>101</v>
      </c>
      <c r="B66" s="307">
        <v>550000</v>
      </c>
      <c r="C66" s="17">
        <f>+'[1]PROYECC NOMINA 5,5% PRIVADA'!$Q$8</f>
        <v>600000</v>
      </c>
      <c r="D66" s="16"/>
      <c r="E66" s="16"/>
      <c r="F66" s="17">
        <v>0</v>
      </c>
      <c r="G66" s="17">
        <v>0</v>
      </c>
      <c r="H66" s="16"/>
      <c r="I66" s="16"/>
      <c r="J66" s="16"/>
      <c r="K66" s="16"/>
      <c r="L66" s="16"/>
      <c r="M66" s="16"/>
      <c r="N66" s="16"/>
      <c r="O66" s="393">
        <f t="shared" si="29"/>
        <v>600000</v>
      </c>
      <c r="P66" s="213">
        <f t="shared" si="28"/>
        <v>9.0909090909090912E-2</v>
      </c>
    </row>
    <row r="67" spans="1:16" s="6" customFormat="1" x14ac:dyDescent="0.25">
      <c r="A67" s="13" t="s">
        <v>103</v>
      </c>
      <c r="B67" s="307">
        <v>0</v>
      </c>
      <c r="C67" s="17">
        <v>1000000</v>
      </c>
      <c r="D67" s="16"/>
      <c r="E67" s="16"/>
      <c r="F67" s="17">
        <v>0</v>
      </c>
      <c r="G67" s="16"/>
      <c r="H67" s="16"/>
      <c r="I67" s="16"/>
      <c r="J67" s="16"/>
      <c r="K67" s="16"/>
      <c r="L67" s="16"/>
      <c r="M67" s="16"/>
      <c r="N67" s="16"/>
      <c r="O67" s="393">
        <f t="shared" si="29"/>
        <v>1000000</v>
      </c>
      <c r="P67" s="213">
        <v>1</v>
      </c>
    </row>
    <row r="68" spans="1:16" s="6" customFormat="1" x14ac:dyDescent="0.25">
      <c r="A68" s="13" t="s">
        <v>675</v>
      </c>
      <c r="B68" s="307">
        <v>63500</v>
      </c>
      <c r="C68" s="17">
        <f>+'[1]PROYECC NOMINA 5,5% PRIVADA'!$M$8</f>
        <v>73000</v>
      </c>
      <c r="D68" s="17">
        <f>+'[1]PROYECC NOMINA 5,5% PRIVADA'!$M$8</f>
        <v>73000</v>
      </c>
      <c r="E68" s="17">
        <f>+'[1]PROYECC NOMINA 5,5% PRIVADA'!$M$8</f>
        <v>73000</v>
      </c>
      <c r="F68" s="17">
        <f>+'[1]PROYECC NOMINA 5,5% PRIVADA'!$M$8</f>
        <v>73000</v>
      </c>
      <c r="G68" s="17">
        <f>+'[1]PROYECC NOMINA 5,5% PRIVADA'!$M$8</f>
        <v>73000</v>
      </c>
      <c r="H68" s="17">
        <f>+'[1]PROYECC NOMINA 5,5% PRIVADA'!$M$8</f>
        <v>73000</v>
      </c>
      <c r="I68" s="17">
        <f>+'[1]PROYECC NOMINA 5,5% PRIVADA'!$M$8</f>
        <v>73000</v>
      </c>
      <c r="J68" s="17">
        <f>+'[1]PROYECC NOMINA 5,5% PRIVADA'!$M$8</f>
        <v>73000</v>
      </c>
      <c r="K68" s="17">
        <f>+'[1]PROYECC NOMINA 5,5% PRIVADA'!$M$8</f>
        <v>73000</v>
      </c>
      <c r="L68" s="17">
        <f>+'[1]PROYECC NOMINA 5,5% PRIVADA'!$M$8</f>
        <v>73000</v>
      </c>
      <c r="M68" s="17">
        <f>+'[1]PROYECC NOMINA 5,5% PRIVADA'!$M$8</f>
        <v>73000</v>
      </c>
      <c r="N68" s="17">
        <f>+'[1]PROYECC NOMINA 5,5% PRIVADA'!$M$8</f>
        <v>73000</v>
      </c>
      <c r="O68" s="393">
        <f t="shared" si="29"/>
        <v>876000</v>
      </c>
      <c r="P68" s="213">
        <f t="shared" si="28"/>
        <v>12.795275590551181</v>
      </c>
    </row>
    <row r="69" spans="1:16" s="6" customFormat="1" x14ac:dyDescent="0.25">
      <c r="A69" s="13" t="s">
        <v>105</v>
      </c>
      <c r="B69" s="307">
        <v>1020000</v>
      </c>
      <c r="C69" s="17">
        <f>+'[1]PROYECC NOMINA 5,5% PRIVADA'!$K$8</f>
        <v>90000</v>
      </c>
      <c r="D69" s="17">
        <f>+'[1]PROYECC NOMINA 5,5% PRIVADA'!$K$8</f>
        <v>90000</v>
      </c>
      <c r="E69" s="17">
        <f>+'[1]PROYECC NOMINA 5,5% PRIVADA'!$K$8</f>
        <v>90000</v>
      </c>
      <c r="F69" s="17">
        <f>+'[1]PROYECC NOMINA 5,5% PRIVADA'!$K$8</f>
        <v>90000</v>
      </c>
      <c r="G69" s="17">
        <f>+'[1]PROYECC NOMINA 5,5% PRIVADA'!$K$8</f>
        <v>90000</v>
      </c>
      <c r="H69" s="17">
        <f>+'[1]PROYECC NOMINA 5,5% PRIVADA'!$K$8</f>
        <v>90000</v>
      </c>
      <c r="I69" s="17">
        <f>+'[1]PROYECC NOMINA 5,5% PRIVADA'!$K$8</f>
        <v>90000</v>
      </c>
      <c r="J69" s="17">
        <f>+'[1]PROYECC NOMINA 5,5% PRIVADA'!$K$8</f>
        <v>90000</v>
      </c>
      <c r="K69" s="17">
        <f>+'[1]PROYECC NOMINA 5,5% PRIVADA'!$K$8</f>
        <v>90000</v>
      </c>
      <c r="L69" s="17">
        <f>+'[1]PROYECC NOMINA 5,5% PRIVADA'!$K$8</f>
        <v>90000</v>
      </c>
      <c r="M69" s="17">
        <f>+'[1]PROYECC NOMINA 5,5% PRIVADA'!$K$8</f>
        <v>90000</v>
      </c>
      <c r="N69" s="17">
        <f>+'[1]PROYECC NOMINA 5,5% PRIVADA'!$K$8</f>
        <v>90000</v>
      </c>
      <c r="O69" s="393">
        <f t="shared" si="29"/>
        <v>1080000</v>
      </c>
      <c r="P69" s="213">
        <f t="shared" si="28"/>
        <v>5.8823529411764705E-2</v>
      </c>
    </row>
    <row r="70" spans="1:16" s="6" customFormat="1" x14ac:dyDescent="0.25">
      <c r="A70" s="13" t="s">
        <v>106</v>
      </c>
      <c r="B70" s="307">
        <v>1440000</v>
      </c>
      <c r="C70" s="17">
        <f>+'[1]PROYECC NOMINA 5,5% PRIVADA'!$L$8</f>
        <v>127000</v>
      </c>
      <c r="D70" s="17">
        <f>+'[1]PROYECC NOMINA 5,5% PRIVADA'!$L$8</f>
        <v>127000</v>
      </c>
      <c r="E70" s="17">
        <f>+'[1]PROYECC NOMINA 5,5% PRIVADA'!$L$8</f>
        <v>127000</v>
      </c>
      <c r="F70" s="17">
        <f>+'[1]PROYECC NOMINA 5,5% PRIVADA'!$L$8</f>
        <v>127000</v>
      </c>
      <c r="G70" s="17">
        <f>+'[1]PROYECC NOMINA 5,5% PRIVADA'!$L$8</f>
        <v>127000</v>
      </c>
      <c r="H70" s="17">
        <f>+'[1]PROYECC NOMINA 5,5% PRIVADA'!$L$8</f>
        <v>127000</v>
      </c>
      <c r="I70" s="17">
        <f>+'[1]PROYECC NOMINA 5,5% PRIVADA'!$L$8</f>
        <v>127000</v>
      </c>
      <c r="J70" s="17">
        <f>+'[1]PROYECC NOMINA 5,5% PRIVADA'!$L$8</f>
        <v>127000</v>
      </c>
      <c r="K70" s="17">
        <f>+'[1]PROYECC NOMINA 5,5% PRIVADA'!$L$8</f>
        <v>127000</v>
      </c>
      <c r="L70" s="17">
        <f>+'[1]PROYECC NOMINA 5,5% PRIVADA'!$L$8</f>
        <v>127000</v>
      </c>
      <c r="M70" s="17">
        <f>+'[1]PROYECC NOMINA 5,5% PRIVADA'!$L$8</f>
        <v>127000</v>
      </c>
      <c r="N70" s="17">
        <f>+'[1]PROYECC NOMINA 5,5% PRIVADA'!$L$8</f>
        <v>127000</v>
      </c>
      <c r="O70" s="393">
        <f t="shared" si="29"/>
        <v>1524000</v>
      </c>
      <c r="P70" s="213">
        <f t="shared" si="28"/>
        <v>5.8333333333333334E-2</v>
      </c>
    </row>
    <row r="71" spans="1:16" s="6" customFormat="1" x14ac:dyDescent="0.25">
      <c r="A71" s="13" t="s">
        <v>107</v>
      </c>
      <c r="B71" s="307">
        <v>480000</v>
      </c>
      <c r="C71" s="17">
        <f>+'[1]PROYECC NOMINA 5,5% PRIVADA'!$N$8</f>
        <v>42000</v>
      </c>
      <c r="D71" s="17">
        <f>+'[1]PROYECC NOMINA 5,5% PRIVADA'!$N$8</f>
        <v>42000</v>
      </c>
      <c r="E71" s="17">
        <f>+'[1]PROYECC NOMINA 5,5% PRIVADA'!$N$8</f>
        <v>42000</v>
      </c>
      <c r="F71" s="17">
        <f>+'[1]PROYECC NOMINA 5,5% PRIVADA'!$N$8</f>
        <v>42000</v>
      </c>
      <c r="G71" s="17">
        <f>+'[1]PROYECC NOMINA 5,5% PRIVADA'!$N$8</f>
        <v>42000</v>
      </c>
      <c r="H71" s="17">
        <f>+'[1]PROYECC NOMINA 5,5% PRIVADA'!$N$8</f>
        <v>42000</v>
      </c>
      <c r="I71" s="17">
        <f>+'[1]PROYECC NOMINA 5,5% PRIVADA'!$N$8</f>
        <v>42000</v>
      </c>
      <c r="J71" s="17">
        <f>+'[1]PROYECC NOMINA 5,5% PRIVADA'!$N$8</f>
        <v>42000</v>
      </c>
      <c r="K71" s="17">
        <f>+'[1]PROYECC NOMINA 5,5% PRIVADA'!$N$8</f>
        <v>42000</v>
      </c>
      <c r="L71" s="17">
        <f>+'[1]PROYECC NOMINA 5,5% PRIVADA'!$N$8</f>
        <v>42000</v>
      </c>
      <c r="M71" s="17">
        <f>+'[1]PROYECC NOMINA 5,5% PRIVADA'!$N$8</f>
        <v>42000</v>
      </c>
      <c r="N71" s="17">
        <f>+'[1]PROYECC NOMINA 5,5% PRIVADA'!$N$8</f>
        <v>42000</v>
      </c>
      <c r="O71" s="393">
        <f t="shared" si="29"/>
        <v>504000</v>
      </c>
      <c r="P71" s="213">
        <f t="shared" si="28"/>
        <v>0.05</v>
      </c>
    </row>
    <row r="72" spans="1:16" s="6" customFormat="1" x14ac:dyDescent="0.25">
      <c r="A72" s="13" t="s">
        <v>108</v>
      </c>
      <c r="B72" s="307">
        <v>360000</v>
      </c>
      <c r="C72" s="17">
        <f>+'[1]PROYECC NOMINA 5,5% PRIVADA'!$O$8</f>
        <v>32000</v>
      </c>
      <c r="D72" s="17">
        <f>+'[1]PROYECC NOMINA 5,5% PRIVADA'!$O$8</f>
        <v>32000</v>
      </c>
      <c r="E72" s="17">
        <f>+'[1]PROYECC NOMINA 5,5% PRIVADA'!$O$8</f>
        <v>32000</v>
      </c>
      <c r="F72" s="17">
        <f>+'[1]PROYECC NOMINA 5,5% PRIVADA'!$O$8</f>
        <v>32000</v>
      </c>
      <c r="G72" s="17">
        <f>+'[1]PROYECC NOMINA 5,5% PRIVADA'!$O$8</f>
        <v>32000</v>
      </c>
      <c r="H72" s="17">
        <f>+'[1]PROYECC NOMINA 5,5% PRIVADA'!$O$8</f>
        <v>32000</v>
      </c>
      <c r="I72" s="17">
        <f>+'[1]PROYECC NOMINA 5,5% PRIVADA'!$O$8</f>
        <v>32000</v>
      </c>
      <c r="J72" s="17">
        <f>+'[1]PROYECC NOMINA 5,5% PRIVADA'!$O$8</f>
        <v>32000</v>
      </c>
      <c r="K72" s="17">
        <f>+'[1]PROYECC NOMINA 5,5% PRIVADA'!$O$8</f>
        <v>32000</v>
      </c>
      <c r="L72" s="17">
        <f>+'[1]PROYECC NOMINA 5,5% PRIVADA'!$O$8</f>
        <v>32000</v>
      </c>
      <c r="M72" s="17">
        <f>+'[1]PROYECC NOMINA 5,5% PRIVADA'!$O$8</f>
        <v>32000</v>
      </c>
      <c r="N72" s="17">
        <f>+'[1]PROYECC NOMINA 5,5% PRIVADA'!$O$8</f>
        <v>32000</v>
      </c>
      <c r="O72" s="393">
        <f t="shared" si="29"/>
        <v>384000</v>
      </c>
      <c r="P72" s="213">
        <f t="shared" si="28"/>
        <v>6.6666666666666666E-2</v>
      </c>
    </row>
    <row r="73" spans="1:16" s="6" customFormat="1" x14ac:dyDescent="0.25">
      <c r="A73" s="13" t="s">
        <v>109</v>
      </c>
      <c r="B73" s="307">
        <v>240000</v>
      </c>
      <c r="C73" s="17">
        <f>+'[1]PROYECC NOMINA 5,5% PRIVADA'!$P$8</f>
        <v>21000</v>
      </c>
      <c r="D73" s="17">
        <f>+'[1]PROYECC NOMINA 5,5% PRIVADA'!$P$8</f>
        <v>21000</v>
      </c>
      <c r="E73" s="17">
        <f>+'[1]PROYECC NOMINA 5,5% PRIVADA'!$P$8</f>
        <v>21000</v>
      </c>
      <c r="F73" s="17">
        <f>+'[1]PROYECC NOMINA 5,5% PRIVADA'!$P$8</f>
        <v>21000</v>
      </c>
      <c r="G73" s="17">
        <f>+'[1]PROYECC NOMINA 5,5% PRIVADA'!$P$8</f>
        <v>21000</v>
      </c>
      <c r="H73" s="17">
        <f>+'[1]PROYECC NOMINA 5,5% PRIVADA'!$P$8</f>
        <v>21000</v>
      </c>
      <c r="I73" s="17">
        <f>+'[1]PROYECC NOMINA 5,5% PRIVADA'!$P$8</f>
        <v>21000</v>
      </c>
      <c r="J73" s="17">
        <f>+'[1]PROYECC NOMINA 5,5% PRIVADA'!$P$8</f>
        <v>21000</v>
      </c>
      <c r="K73" s="17">
        <f>+'[1]PROYECC NOMINA 5,5% PRIVADA'!$P$8</f>
        <v>21000</v>
      </c>
      <c r="L73" s="17">
        <f>+'[1]PROYECC NOMINA 5,5% PRIVADA'!$P$8</f>
        <v>21000</v>
      </c>
      <c r="M73" s="17">
        <f>+'[1]PROYECC NOMINA 5,5% PRIVADA'!$P$8</f>
        <v>21000</v>
      </c>
      <c r="N73" s="17">
        <f>+'[1]PROYECC NOMINA 5,5% PRIVADA'!$P$8</f>
        <v>21000</v>
      </c>
      <c r="O73" s="393">
        <f t="shared" si="29"/>
        <v>252000</v>
      </c>
      <c r="P73" s="213">
        <f t="shared" si="28"/>
        <v>0.05</v>
      </c>
    </row>
    <row r="74" spans="1:16" s="6" customFormat="1" x14ac:dyDescent="0.25">
      <c r="A74" s="13" t="s">
        <v>111</v>
      </c>
      <c r="B74" s="307"/>
      <c r="C74" s="16"/>
      <c r="D74" s="16"/>
      <c r="E74" s="16"/>
      <c r="F74" s="16"/>
      <c r="G74" s="17"/>
      <c r="H74" s="17"/>
      <c r="I74" s="17"/>
      <c r="J74" s="17"/>
      <c r="K74" s="17"/>
      <c r="L74" s="17"/>
      <c r="M74" s="17"/>
      <c r="N74" s="16"/>
      <c r="O74" s="393">
        <f t="shared" si="29"/>
        <v>0</v>
      </c>
      <c r="P74" s="213">
        <v>0</v>
      </c>
    </row>
    <row r="75" spans="1:16" s="6" customFormat="1" x14ac:dyDescent="0.25">
      <c r="A75" s="18" t="s">
        <v>1</v>
      </c>
      <c r="B75" s="328">
        <f>SUM(B76:B79)</f>
        <v>25812403</v>
      </c>
      <c r="C75" s="19">
        <f>SUM(C76:C77)</f>
        <v>0</v>
      </c>
      <c r="D75" s="19">
        <f>SUM(D76:D77)</f>
        <v>2000000</v>
      </c>
      <c r="E75" s="19">
        <f>SUM(E76:E79)</f>
        <v>4900000</v>
      </c>
      <c r="F75" s="19">
        <f t="shared" ref="F75" si="30">SUM(F76:F77)</f>
        <v>2000000</v>
      </c>
      <c r="G75" s="19">
        <f t="shared" ref="G75:O75" si="31">SUM(G76:G79)</f>
        <v>4491000</v>
      </c>
      <c r="H75" s="19">
        <f t="shared" si="31"/>
        <v>2044000</v>
      </c>
      <c r="I75" s="19">
        <f t="shared" si="31"/>
        <v>4800000</v>
      </c>
      <c r="J75" s="19">
        <f t="shared" si="31"/>
        <v>1800000</v>
      </c>
      <c r="K75" s="19">
        <f t="shared" si="31"/>
        <v>1800000</v>
      </c>
      <c r="L75" s="19">
        <f t="shared" si="31"/>
        <v>1800000</v>
      </c>
      <c r="M75" s="19">
        <f t="shared" si="31"/>
        <v>6800000</v>
      </c>
      <c r="N75" s="19">
        <f t="shared" si="31"/>
        <v>0</v>
      </c>
      <c r="O75" s="394">
        <f t="shared" si="31"/>
        <v>32435000</v>
      </c>
      <c r="P75" s="213">
        <f t="shared" ref="P75:P124" si="32">+(O75-B75)/B75</f>
        <v>0.25656646535388433</v>
      </c>
    </row>
    <row r="76" spans="1:16" x14ac:dyDescent="0.25">
      <c r="A76" s="13" t="s">
        <v>772</v>
      </c>
      <c r="B76" s="307">
        <f>12712403-1008403</f>
        <v>11704000</v>
      </c>
      <c r="C76" s="32"/>
      <c r="D76" s="32">
        <v>2000000</v>
      </c>
      <c r="E76" s="32">
        <v>1900000</v>
      </c>
      <c r="F76" s="32">
        <f>2000000</f>
        <v>2000000</v>
      </c>
      <c r="G76" s="32">
        <f>2000000+1440000</f>
        <v>3440000</v>
      </c>
      <c r="H76" s="32">
        <f>1900000+144000</f>
        <v>2044000</v>
      </c>
      <c r="I76" s="32">
        <v>1800000</v>
      </c>
      <c r="J76" s="32">
        <v>1800000</v>
      </c>
      <c r="K76" s="32">
        <v>1800000</v>
      </c>
      <c r="L76" s="32">
        <v>1800000</v>
      </c>
      <c r="M76" s="32">
        <v>1800000</v>
      </c>
      <c r="N76" s="32">
        <v>0</v>
      </c>
      <c r="O76" s="393">
        <f t="shared" ref="O76:O79" si="33">SUM(C76:N76)</f>
        <v>20384000</v>
      </c>
      <c r="P76" s="213">
        <f t="shared" si="32"/>
        <v>0.74162679425837319</v>
      </c>
    </row>
    <row r="77" spans="1:16" x14ac:dyDescent="0.25">
      <c r="A77" s="13" t="s">
        <v>770</v>
      </c>
      <c r="B77" s="307">
        <v>8500000</v>
      </c>
      <c r="C77" s="17">
        <v>0</v>
      </c>
      <c r="D77" s="17">
        <v>0</v>
      </c>
      <c r="E77" s="17">
        <v>3000000</v>
      </c>
      <c r="F77" s="17">
        <v>0</v>
      </c>
      <c r="G77" s="17">
        <v>0</v>
      </c>
      <c r="H77" s="17">
        <v>0</v>
      </c>
      <c r="I77" s="17">
        <v>3000000</v>
      </c>
      <c r="J77" s="17">
        <v>0</v>
      </c>
      <c r="K77" s="17">
        <v>0</v>
      </c>
      <c r="L77" s="17">
        <v>0</v>
      </c>
      <c r="M77" s="17">
        <v>5000000</v>
      </c>
      <c r="N77" s="17">
        <v>0</v>
      </c>
      <c r="O77" s="393">
        <f t="shared" si="33"/>
        <v>11000000</v>
      </c>
      <c r="P77" s="213">
        <f t="shared" si="32"/>
        <v>0.29411764705882354</v>
      </c>
    </row>
    <row r="78" spans="1:16" x14ac:dyDescent="0.25">
      <c r="A78" s="13" t="s">
        <v>500</v>
      </c>
      <c r="B78" s="307">
        <v>1008403</v>
      </c>
      <c r="C78" s="32"/>
      <c r="D78" s="32"/>
      <c r="E78" s="32"/>
      <c r="F78" s="32"/>
      <c r="G78" s="8">
        <f>ROUND(((+$B$78*$B$50)+$B$78)/1,-3)</f>
        <v>1051000</v>
      </c>
      <c r="H78" s="32"/>
      <c r="I78" s="32"/>
      <c r="J78" s="32"/>
      <c r="K78" s="11">
        <v>0</v>
      </c>
      <c r="L78" s="32"/>
      <c r="M78" s="32"/>
      <c r="N78" s="32"/>
      <c r="O78" s="393">
        <f t="shared" si="33"/>
        <v>1051000</v>
      </c>
      <c r="P78" s="213">
        <f t="shared" si="32"/>
        <v>4.2242040136731052E-2</v>
      </c>
    </row>
    <row r="79" spans="1:16" x14ac:dyDescent="0.25">
      <c r="A79" s="13" t="s">
        <v>771</v>
      </c>
      <c r="B79" s="307">
        <v>4600000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93">
        <f t="shared" si="33"/>
        <v>0</v>
      </c>
      <c r="P79" s="213">
        <f t="shared" si="32"/>
        <v>-1</v>
      </c>
    </row>
    <row r="80" spans="1:16" x14ac:dyDescent="0.25">
      <c r="A80" s="18" t="s">
        <v>5</v>
      </c>
      <c r="B80" s="306">
        <f t="shared" ref="B80:O80" si="34">SUM(B81:B83)</f>
        <v>2565827</v>
      </c>
      <c r="C80" s="10">
        <f t="shared" si="34"/>
        <v>1567141</v>
      </c>
      <c r="D80" s="10">
        <f t="shared" si="34"/>
        <v>17120</v>
      </c>
      <c r="E80" s="10">
        <f t="shared" si="34"/>
        <v>148195</v>
      </c>
      <c r="F80" s="10">
        <f t="shared" si="34"/>
        <v>125190</v>
      </c>
      <c r="G80" s="10">
        <f t="shared" si="34"/>
        <v>550194</v>
      </c>
      <c r="H80" s="10">
        <f t="shared" si="34"/>
        <v>25573</v>
      </c>
      <c r="I80" s="10">
        <f t="shared" si="34"/>
        <v>37985</v>
      </c>
      <c r="J80" s="10">
        <f t="shared" si="34"/>
        <v>1070</v>
      </c>
      <c r="K80" s="10">
        <f t="shared" si="34"/>
        <v>57673</v>
      </c>
      <c r="L80" s="10">
        <f t="shared" si="34"/>
        <v>42265</v>
      </c>
      <c r="M80" s="10">
        <f t="shared" si="34"/>
        <v>65805</v>
      </c>
      <c r="N80" s="10">
        <f t="shared" si="34"/>
        <v>65805</v>
      </c>
      <c r="O80" s="396">
        <f t="shared" si="34"/>
        <v>2704016</v>
      </c>
      <c r="P80" s="213">
        <f t="shared" si="32"/>
        <v>5.385748922277301E-2</v>
      </c>
    </row>
    <row r="81" spans="1:16" x14ac:dyDescent="0.25">
      <c r="A81" s="157" t="s">
        <v>6</v>
      </c>
      <c r="B81" s="329">
        <v>1477027</v>
      </c>
      <c r="C81" s="11">
        <f>ROUND((B81*$B$50)+B81,-3)</f>
        <v>1539000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395">
        <f t="shared" ref="O81:O83" si="35">SUM(C81:N81)</f>
        <v>1539000</v>
      </c>
      <c r="P81" s="213">
        <f t="shared" si="32"/>
        <v>4.195793306418908E-2</v>
      </c>
    </row>
    <row r="82" spans="1:16" ht="12" x14ac:dyDescent="0.3">
      <c r="A82" s="162" t="s">
        <v>236</v>
      </c>
      <c r="B82" s="329">
        <v>1017300</v>
      </c>
      <c r="C82" s="11">
        <f>+$Q$285*C288</f>
        <v>26750</v>
      </c>
      <c r="D82" s="11">
        <f t="shared" ref="D82:N82" si="36">+$Q$285*D288</f>
        <v>17120</v>
      </c>
      <c r="E82" s="11">
        <f t="shared" si="36"/>
        <v>141240</v>
      </c>
      <c r="F82" s="11">
        <f t="shared" si="36"/>
        <v>111280</v>
      </c>
      <c r="G82" s="11">
        <f t="shared" si="36"/>
        <v>540350</v>
      </c>
      <c r="H82" s="11">
        <f t="shared" si="36"/>
        <v>19795</v>
      </c>
      <c r="I82" s="11">
        <f t="shared" si="36"/>
        <v>37985</v>
      </c>
      <c r="J82" s="11">
        <f t="shared" si="36"/>
        <v>1070</v>
      </c>
      <c r="K82" s="11">
        <f t="shared" si="36"/>
        <v>55961</v>
      </c>
      <c r="L82" s="11">
        <f t="shared" si="36"/>
        <v>29960</v>
      </c>
      <c r="M82" s="11">
        <f t="shared" si="36"/>
        <v>53500</v>
      </c>
      <c r="N82" s="11">
        <f t="shared" si="36"/>
        <v>53500</v>
      </c>
      <c r="O82" s="395">
        <f t="shared" si="35"/>
        <v>1088511</v>
      </c>
      <c r="P82" s="213">
        <f t="shared" si="32"/>
        <v>7.0000000000000007E-2</v>
      </c>
    </row>
    <row r="83" spans="1:16" ht="12" x14ac:dyDescent="0.3">
      <c r="A83" s="162" t="s">
        <v>261</v>
      </c>
      <c r="B83" s="329">
        <v>71500</v>
      </c>
      <c r="C83" s="11">
        <f>+$Q$286*C289</f>
        <v>1391</v>
      </c>
      <c r="D83" s="11">
        <f t="shared" ref="D83:N83" si="37">+$Q$286*D289</f>
        <v>0</v>
      </c>
      <c r="E83" s="11">
        <f t="shared" si="37"/>
        <v>6955</v>
      </c>
      <c r="F83" s="11">
        <f t="shared" si="37"/>
        <v>13910</v>
      </c>
      <c r="G83" s="11">
        <f t="shared" si="37"/>
        <v>9844</v>
      </c>
      <c r="H83" s="11">
        <f t="shared" si="37"/>
        <v>5778</v>
      </c>
      <c r="I83" s="11">
        <f t="shared" si="37"/>
        <v>0</v>
      </c>
      <c r="J83" s="11">
        <f t="shared" si="37"/>
        <v>0</v>
      </c>
      <c r="K83" s="11">
        <f t="shared" si="37"/>
        <v>1712</v>
      </c>
      <c r="L83" s="11">
        <f t="shared" si="37"/>
        <v>12305</v>
      </c>
      <c r="M83" s="11">
        <f t="shared" si="37"/>
        <v>12305</v>
      </c>
      <c r="N83" s="11">
        <f t="shared" si="37"/>
        <v>12305</v>
      </c>
      <c r="O83" s="395">
        <f t="shared" si="35"/>
        <v>76505</v>
      </c>
      <c r="P83" s="213">
        <f t="shared" si="32"/>
        <v>7.0000000000000007E-2</v>
      </c>
    </row>
    <row r="84" spans="1:16" x14ac:dyDescent="0.25">
      <c r="A84" s="18" t="s">
        <v>7</v>
      </c>
      <c r="B84" s="328">
        <f t="shared" ref="B84:O84" si="38">SUM(B85:B87)</f>
        <v>2837000</v>
      </c>
      <c r="C84" s="19">
        <f t="shared" si="38"/>
        <v>243000</v>
      </c>
      <c r="D84" s="19">
        <f t="shared" si="38"/>
        <v>243000</v>
      </c>
      <c r="E84" s="19">
        <f t="shared" si="38"/>
        <v>243000</v>
      </c>
      <c r="F84" s="19">
        <f t="shared" si="38"/>
        <v>259000</v>
      </c>
      <c r="G84" s="19">
        <f t="shared" si="38"/>
        <v>243000</v>
      </c>
      <c r="H84" s="19">
        <f t="shared" si="38"/>
        <v>243000</v>
      </c>
      <c r="I84" s="19">
        <f t="shared" si="38"/>
        <v>243000</v>
      </c>
      <c r="J84" s="19">
        <f t="shared" si="38"/>
        <v>243000</v>
      </c>
      <c r="K84" s="19">
        <f t="shared" si="38"/>
        <v>259000</v>
      </c>
      <c r="L84" s="19">
        <f t="shared" si="38"/>
        <v>243000</v>
      </c>
      <c r="M84" s="19">
        <f t="shared" si="38"/>
        <v>243000</v>
      </c>
      <c r="N84" s="19">
        <f t="shared" si="38"/>
        <v>243000</v>
      </c>
      <c r="O84" s="394">
        <f t="shared" si="38"/>
        <v>2948000</v>
      </c>
      <c r="P84" s="213">
        <f t="shared" si="32"/>
        <v>3.9125837151921042E-2</v>
      </c>
    </row>
    <row r="85" spans="1:16" x14ac:dyDescent="0.25">
      <c r="A85" s="13" t="s">
        <v>8</v>
      </c>
      <c r="B85" s="307">
        <v>30000</v>
      </c>
      <c r="C85" s="8">
        <v>0</v>
      </c>
      <c r="D85" s="8">
        <v>0</v>
      </c>
      <c r="E85" s="8">
        <v>0</v>
      </c>
      <c r="F85" s="8">
        <f>ROUND(((+$B$85*$B$50)+$B$85)/2,-3)</f>
        <v>16000</v>
      </c>
      <c r="G85" s="8">
        <v>0</v>
      </c>
      <c r="H85" s="8">
        <v>0</v>
      </c>
      <c r="I85" s="8">
        <v>0</v>
      </c>
      <c r="J85" s="8">
        <v>0</v>
      </c>
      <c r="K85" s="8">
        <f>ROUND(((+$B$85*$B$50)+$B$85)/2,-3)</f>
        <v>16000</v>
      </c>
      <c r="L85" s="8">
        <v>0</v>
      </c>
      <c r="M85" s="8">
        <v>0</v>
      </c>
      <c r="N85" s="8">
        <v>0</v>
      </c>
      <c r="O85" s="395">
        <f t="shared" ref="O85:O87" si="39">SUM(C85:N85)</f>
        <v>32000</v>
      </c>
      <c r="P85" s="213">
        <f t="shared" si="32"/>
        <v>6.6666666666666666E-2</v>
      </c>
    </row>
    <row r="86" spans="1:16" x14ac:dyDescent="0.25">
      <c r="A86" s="13" t="s">
        <v>12</v>
      </c>
      <c r="B86" s="330">
        <v>510000</v>
      </c>
      <c r="C86" s="8">
        <f t="shared" ref="C86:N86" si="40">ROUND(((+$B$86*$B$50)+$B$86)/12,-3)</f>
        <v>44000</v>
      </c>
      <c r="D86" s="8">
        <f t="shared" si="40"/>
        <v>44000</v>
      </c>
      <c r="E86" s="8">
        <f t="shared" si="40"/>
        <v>44000</v>
      </c>
      <c r="F86" s="8">
        <f t="shared" si="40"/>
        <v>44000</v>
      </c>
      <c r="G86" s="8">
        <f t="shared" si="40"/>
        <v>44000</v>
      </c>
      <c r="H86" s="8">
        <f t="shared" si="40"/>
        <v>44000</v>
      </c>
      <c r="I86" s="8">
        <f t="shared" si="40"/>
        <v>44000</v>
      </c>
      <c r="J86" s="8">
        <f t="shared" si="40"/>
        <v>44000</v>
      </c>
      <c r="K86" s="8">
        <f t="shared" si="40"/>
        <v>44000</v>
      </c>
      <c r="L86" s="8">
        <f t="shared" si="40"/>
        <v>44000</v>
      </c>
      <c r="M86" s="8">
        <f t="shared" si="40"/>
        <v>44000</v>
      </c>
      <c r="N86" s="8">
        <f t="shared" si="40"/>
        <v>44000</v>
      </c>
      <c r="O86" s="395">
        <f t="shared" si="39"/>
        <v>528000</v>
      </c>
      <c r="P86" s="213">
        <f t="shared" si="32"/>
        <v>3.5294117647058823E-2</v>
      </c>
    </row>
    <row r="87" spans="1:16" x14ac:dyDescent="0.25">
      <c r="A87" s="13" t="s">
        <v>479</v>
      </c>
      <c r="B87" s="307">
        <v>2297000</v>
      </c>
      <c r="C87" s="8">
        <f t="shared" ref="C87:N87" si="41">ROUND(((+$B$87*$B$50)+$B$87)/12,-3)</f>
        <v>199000</v>
      </c>
      <c r="D87" s="8">
        <f t="shared" si="41"/>
        <v>199000</v>
      </c>
      <c r="E87" s="8">
        <f t="shared" si="41"/>
        <v>199000</v>
      </c>
      <c r="F87" s="8">
        <f t="shared" si="41"/>
        <v>199000</v>
      </c>
      <c r="G87" s="8">
        <f t="shared" si="41"/>
        <v>199000</v>
      </c>
      <c r="H87" s="8">
        <f t="shared" si="41"/>
        <v>199000</v>
      </c>
      <c r="I87" s="8">
        <f t="shared" si="41"/>
        <v>199000</v>
      </c>
      <c r="J87" s="8">
        <f t="shared" si="41"/>
        <v>199000</v>
      </c>
      <c r="K87" s="8">
        <f t="shared" si="41"/>
        <v>199000</v>
      </c>
      <c r="L87" s="8">
        <f t="shared" si="41"/>
        <v>199000</v>
      </c>
      <c r="M87" s="8">
        <f t="shared" si="41"/>
        <v>199000</v>
      </c>
      <c r="N87" s="8">
        <f t="shared" si="41"/>
        <v>199000</v>
      </c>
      <c r="O87" s="395">
        <f t="shared" si="39"/>
        <v>2388000</v>
      </c>
      <c r="P87" s="213">
        <f t="shared" si="32"/>
        <v>3.9616891597736174E-2</v>
      </c>
    </row>
    <row r="88" spans="1:16" s="6" customFormat="1" x14ac:dyDescent="0.25">
      <c r="A88" s="18" t="s">
        <v>114</v>
      </c>
      <c r="B88" s="306">
        <f t="shared" ref="B88:O88" si="42">+B89+B92</f>
        <v>16337180</v>
      </c>
      <c r="C88" s="10">
        <f t="shared" si="42"/>
        <v>492000</v>
      </c>
      <c r="D88" s="10">
        <f t="shared" si="42"/>
        <v>492000</v>
      </c>
      <c r="E88" s="10">
        <f t="shared" si="42"/>
        <v>2999131.1606666669</v>
      </c>
      <c r="F88" s="10">
        <f t="shared" si="42"/>
        <v>492000</v>
      </c>
      <c r="G88" s="10">
        <f t="shared" si="42"/>
        <v>492000</v>
      </c>
      <c r="H88" s="10">
        <f t="shared" si="42"/>
        <v>2999131.1606666669</v>
      </c>
      <c r="I88" s="10">
        <f t="shared" si="42"/>
        <v>492000</v>
      </c>
      <c r="J88" s="10">
        <f t="shared" si="42"/>
        <v>492000</v>
      </c>
      <c r="K88" s="10">
        <f t="shared" si="42"/>
        <v>2999131.1606666669</v>
      </c>
      <c r="L88" s="10">
        <f t="shared" si="42"/>
        <v>492000</v>
      </c>
      <c r="M88" s="10">
        <f t="shared" si="42"/>
        <v>492000</v>
      </c>
      <c r="N88" s="10">
        <f t="shared" si="42"/>
        <v>492000</v>
      </c>
      <c r="O88" s="396">
        <f t="shared" si="42"/>
        <v>13425393.482000001</v>
      </c>
      <c r="P88" s="213">
        <f t="shared" si="32"/>
        <v>-0.17823066881799671</v>
      </c>
    </row>
    <row r="89" spans="1:16" s="6" customFormat="1" x14ac:dyDescent="0.25">
      <c r="A89" s="18" t="s">
        <v>115</v>
      </c>
      <c r="B89" s="306">
        <f t="shared" ref="B89:O89" si="43">SUM(B90:B91)</f>
        <v>10674180</v>
      </c>
      <c r="C89" s="10">
        <f t="shared" si="43"/>
        <v>0</v>
      </c>
      <c r="D89" s="10">
        <f t="shared" si="43"/>
        <v>0</v>
      </c>
      <c r="E89" s="10">
        <f t="shared" si="43"/>
        <v>2507131.1606666669</v>
      </c>
      <c r="F89" s="10">
        <f t="shared" si="43"/>
        <v>0</v>
      </c>
      <c r="G89" s="10">
        <f t="shared" si="43"/>
        <v>0</v>
      </c>
      <c r="H89" s="10">
        <f t="shared" si="43"/>
        <v>2507131.1606666669</v>
      </c>
      <c r="I89" s="10">
        <f t="shared" si="43"/>
        <v>0</v>
      </c>
      <c r="J89" s="10">
        <f t="shared" si="43"/>
        <v>0</v>
      </c>
      <c r="K89" s="10">
        <f t="shared" si="43"/>
        <v>2507131.1606666669</v>
      </c>
      <c r="L89" s="10">
        <f t="shared" si="43"/>
        <v>0</v>
      </c>
      <c r="M89" s="10">
        <f t="shared" si="43"/>
        <v>0</v>
      </c>
      <c r="N89" s="10">
        <f t="shared" si="43"/>
        <v>0</v>
      </c>
      <c r="O89" s="396">
        <f t="shared" si="43"/>
        <v>7521393.4819999998</v>
      </c>
      <c r="P89" s="213">
        <f t="shared" si="32"/>
        <v>-0.29536568785611639</v>
      </c>
    </row>
    <row r="90" spans="1:16" x14ac:dyDescent="0.25">
      <c r="A90" s="13" t="s">
        <v>117</v>
      </c>
      <c r="B90" s="307">
        <v>3976180</v>
      </c>
      <c r="C90" s="8"/>
      <c r="D90" s="7"/>
      <c r="E90" s="8">
        <f>(+$O$7*1%)/3</f>
        <v>1387131.1606666667</v>
      </c>
      <c r="F90" s="7"/>
      <c r="G90" s="7"/>
      <c r="H90" s="8">
        <f>(+$O$7*1%)/3</f>
        <v>1387131.1606666667</v>
      </c>
      <c r="I90" s="7"/>
      <c r="J90" s="7"/>
      <c r="K90" s="8">
        <f>(+$O$7*1%)/3</f>
        <v>1387131.1606666667</v>
      </c>
      <c r="L90" s="7"/>
      <c r="M90" s="7"/>
      <c r="N90" s="7"/>
      <c r="O90" s="395">
        <f t="shared" ref="O90:O95" si="44">SUM(C90:N90)</f>
        <v>4161393.4819999998</v>
      </c>
      <c r="P90" s="213">
        <f t="shared" si="32"/>
        <v>4.6580758919364779E-2</v>
      </c>
    </row>
    <row r="91" spans="1:16" x14ac:dyDescent="0.25">
      <c r="A91" s="13" t="s">
        <v>128</v>
      </c>
      <c r="B91" s="307">
        <v>6698000</v>
      </c>
      <c r="C91" s="8"/>
      <c r="D91" s="7"/>
      <c r="E91" s="8">
        <v>1120000</v>
      </c>
      <c r="F91" s="7"/>
      <c r="G91" s="8"/>
      <c r="H91" s="8">
        <v>1120000</v>
      </c>
      <c r="I91" s="7"/>
      <c r="J91" s="8"/>
      <c r="K91" s="8">
        <v>1120000</v>
      </c>
      <c r="L91" s="7"/>
      <c r="M91" s="7"/>
      <c r="N91" s="8"/>
      <c r="O91" s="395">
        <f t="shared" si="44"/>
        <v>3360000</v>
      </c>
      <c r="P91" s="213">
        <f t="shared" si="32"/>
        <v>-0.49835771872200657</v>
      </c>
    </row>
    <row r="92" spans="1:16" s="6" customFormat="1" x14ac:dyDescent="0.25">
      <c r="A92" s="18" t="s">
        <v>116</v>
      </c>
      <c r="B92" s="306">
        <f t="shared" ref="B92:O92" si="45">SUM(B93:B95)</f>
        <v>5663000</v>
      </c>
      <c r="C92" s="10">
        <f t="shared" si="45"/>
        <v>492000</v>
      </c>
      <c r="D92" s="10">
        <f t="shared" si="45"/>
        <v>492000</v>
      </c>
      <c r="E92" s="10">
        <f t="shared" si="45"/>
        <v>492000</v>
      </c>
      <c r="F92" s="10">
        <f t="shared" si="45"/>
        <v>492000</v>
      </c>
      <c r="G92" s="10">
        <f t="shared" si="45"/>
        <v>492000</v>
      </c>
      <c r="H92" s="10">
        <f t="shared" si="45"/>
        <v>492000</v>
      </c>
      <c r="I92" s="10">
        <f t="shared" si="45"/>
        <v>492000</v>
      </c>
      <c r="J92" s="10">
        <f t="shared" si="45"/>
        <v>492000</v>
      </c>
      <c r="K92" s="10">
        <f t="shared" si="45"/>
        <v>492000</v>
      </c>
      <c r="L92" s="10">
        <f t="shared" si="45"/>
        <v>492000</v>
      </c>
      <c r="M92" s="10">
        <f t="shared" si="45"/>
        <v>492000</v>
      </c>
      <c r="N92" s="10">
        <f t="shared" si="45"/>
        <v>492000</v>
      </c>
      <c r="O92" s="396">
        <f t="shared" si="45"/>
        <v>5904000</v>
      </c>
      <c r="P92" s="213">
        <f t="shared" si="32"/>
        <v>4.2556948613808938E-2</v>
      </c>
    </row>
    <row r="93" spans="1:16" x14ac:dyDescent="0.25">
      <c r="A93" s="13" t="s">
        <v>129</v>
      </c>
      <c r="B93" s="307">
        <v>1866000</v>
      </c>
      <c r="C93" s="8">
        <f t="shared" ref="C93:N93" si="46">ROUND((((+$B$93*$B$50)+$B$93))/12,-3)</f>
        <v>162000</v>
      </c>
      <c r="D93" s="8">
        <f t="shared" si="46"/>
        <v>162000</v>
      </c>
      <c r="E93" s="8">
        <f t="shared" si="46"/>
        <v>162000</v>
      </c>
      <c r="F93" s="8">
        <f t="shared" si="46"/>
        <v>162000</v>
      </c>
      <c r="G93" s="8">
        <f t="shared" si="46"/>
        <v>162000</v>
      </c>
      <c r="H93" s="8">
        <f t="shared" si="46"/>
        <v>162000</v>
      </c>
      <c r="I93" s="8">
        <f t="shared" si="46"/>
        <v>162000</v>
      </c>
      <c r="J93" s="8">
        <f t="shared" si="46"/>
        <v>162000</v>
      </c>
      <c r="K93" s="8">
        <f t="shared" si="46"/>
        <v>162000</v>
      </c>
      <c r="L93" s="8">
        <f t="shared" si="46"/>
        <v>162000</v>
      </c>
      <c r="M93" s="8">
        <f t="shared" si="46"/>
        <v>162000</v>
      </c>
      <c r="N93" s="8">
        <f t="shared" si="46"/>
        <v>162000</v>
      </c>
      <c r="O93" s="395">
        <f t="shared" si="44"/>
        <v>1944000</v>
      </c>
      <c r="P93" s="213">
        <f t="shared" si="32"/>
        <v>4.1800643086816719E-2</v>
      </c>
    </row>
    <row r="94" spans="1:16" x14ac:dyDescent="0.25">
      <c r="A94" s="13" t="s">
        <v>283</v>
      </c>
      <c r="B94" s="307">
        <v>2622000</v>
      </c>
      <c r="C94" s="8">
        <f t="shared" ref="C94:N94" si="47">ROUND((((+$B$94*$B$50)+$B$94))/12,-3)</f>
        <v>228000</v>
      </c>
      <c r="D94" s="8">
        <f t="shared" si="47"/>
        <v>228000</v>
      </c>
      <c r="E94" s="8">
        <f t="shared" si="47"/>
        <v>228000</v>
      </c>
      <c r="F94" s="8">
        <f t="shared" si="47"/>
        <v>228000</v>
      </c>
      <c r="G94" s="8">
        <f t="shared" si="47"/>
        <v>228000</v>
      </c>
      <c r="H94" s="8">
        <f t="shared" si="47"/>
        <v>228000</v>
      </c>
      <c r="I94" s="8">
        <f t="shared" si="47"/>
        <v>228000</v>
      </c>
      <c r="J94" s="8">
        <f t="shared" si="47"/>
        <v>228000</v>
      </c>
      <c r="K94" s="8">
        <f t="shared" si="47"/>
        <v>228000</v>
      </c>
      <c r="L94" s="8">
        <f t="shared" si="47"/>
        <v>228000</v>
      </c>
      <c r="M94" s="8">
        <f t="shared" si="47"/>
        <v>228000</v>
      </c>
      <c r="N94" s="8">
        <f t="shared" si="47"/>
        <v>228000</v>
      </c>
      <c r="O94" s="395">
        <f t="shared" si="44"/>
        <v>2736000</v>
      </c>
      <c r="P94" s="213">
        <v>1</v>
      </c>
    </row>
    <row r="95" spans="1:16" x14ac:dyDescent="0.25">
      <c r="A95" s="13" t="s">
        <v>130</v>
      </c>
      <c r="B95" s="307">
        <v>1175000</v>
      </c>
      <c r="C95" s="8">
        <f t="shared" ref="C95:N95" si="48">ROUND((((+$B$95*$B$50)+$B$95))/12,-3)</f>
        <v>102000</v>
      </c>
      <c r="D95" s="8">
        <f t="shared" si="48"/>
        <v>102000</v>
      </c>
      <c r="E95" s="8">
        <f t="shared" si="48"/>
        <v>102000</v>
      </c>
      <c r="F95" s="8">
        <f t="shared" si="48"/>
        <v>102000</v>
      </c>
      <c r="G95" s="8">
        <f t="shared" si="48"/>
        <v>102000</v>
      </c>
      <c r="H95" s="8">
        <f t="shared" si="48"/>
        <v>102000</v>
      </c>
      <c r="I95" s="8">
        <f t="shared" si="48"/>
        <v>102000</v>
      </c>
      <c r="J95" s="8">
        <f t="shared" si="48"/>
        <v>102000</v>
      </c>
      <c r="K95" s="8">
        <f t="shared" si="48"/>
        <v>102000</v>
      </c>
      <c r="L95" s="8">
        <f t="shared" si="48"/>
        <v>102000</v>
      </c>
      <c r="M95" s="8">
        <f t="shared" si="48"/>
        <v>102000</v>
      </c>
      <c r="N95" s="8">
        <f t="shared" si="48"/>
        <v>102000</v>
      </c>
      <c r="O95" s="395">
        <f t="shared" si="44"/>
        <v>1224000</v>
      </c>
      <c r="P95" s="213">
        <f t="shared" si="32"/>
        <v>4.170212765957447E-2</v>
      </c>
    </row>
    <row r="96" spans="1:16" s="6" customFormat="1" x14ac:dyDescent="0.25">
      <c r="A96" s="18" t="s">
        <v>13</v>
      </c>
      <c r="B96" s="306">
        <f t="shared" ref="B96:O96" si="49">SUM(B97:B104)</f>
        <v>3780700</v>
      </c>
      <c r="C96" s="10">
        <f t="shared" si="49"/>
        <v>3146000</v>
      </c>
      <c r="D96" s="10">
        <f t="shared" si="49"/>
        <v>72000</v>
      </c>
      <c r="E96" s="10">
        <f t="shared" si="49"/>
        <v>72000</v>
      </c>
      <c r="F96" s="10">
        <f t="shared" si="49"/>
        <v>72000</v>
      </c>
      <c r="G96" s="10">
        <f t="shared" si="49"/>
        <v>72000</v>
      </c>
      <c r="H96" s="10">
        <f t="shared" si="49"/>
        <v>72000</v>
      </c>
      <c r="I96" s="10">
        <f t="shared" si="49"/>
        <v>72000</v>
      </c>
      <c r="J96" s="10">
        <f t="shared" si="49"/>
        <v>72000</v>
      </c>
      <c r="K96" s="10">
        <f t="shared" si="49"/>
        <v>72000</v>
      </c>
      <c r="L96" s="10">
        <f t="shared" si="49"/>
        <v>72000</v>
      </c>
      <c r="M96" s="10">
        <f t="shared" si="49"/>
        <v>72000</v>
      </c>
      <c r="N96" s="10">
        <f t="shared" si="49"/>
        <v>72000</v>
      </c>
      <c r="O96" s="396">
        <f t="shared" si="49"/>
        <v>3938000</v>
      </c>
      <c r="P96" s="213">
        <f t="shared" si="32"/>
        <v>4.160605178935118E-2</v>
      </c>
    </row>
    <row r="97" spans="1:16" x14ac:dyDescent="0.25">
      <c r="A97" s="13" t="s">
        <v>14</v>
      </c>
      <c r="B97" s="307">
        <v>154000</v>
      </c>
      <c r="C97" s="8">
        <f>ROUND((((+$B$97*$B$50)+$B$97)),-3)</f>
        <v>160000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395">
        <f t="shared" ref="O97:O104" si="50">SUM(C97:N97)</f>
        <v>160000</v>
      </c>
      <c r="P97" s="213">
        <f t="shared" si="32"/>
        <v>3.896103896103896E-2</v>
      </c>
    </row>
    <row r="98" spans="1:16" x14ac:dyDescent="0.25">
      <c r="A98" s="13" t="s">
        <v>16</v>
      </c>
      <c r="B98" s="307">
        <v>105000</v>
      </c>
      <c r="C98" s="8">
        <f>ROUND((((+$B$98*$B$50)+$B$98)),-3)</f>
        <v>109000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395">
        <f t="shared" si="50"/>
        <v>109000</v>
      </c>
      <c r="P98" s="213">
        <v>0</v>
      </c>
    </row>
    <row r="99" spans="1:16" x14ac:dyDescent="0.25">
      <c r="A99" s="13" t="s">
        <v>17</v>
      </c>
      <c r="B99" s="307">
        <v>988000</v>
      </c>
      <c r="C99" s="8">
        <f>ROUND((((+$B$99*$B$50)+$B$99)),-3)</f>
        <v>1029000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395">
        <f t="shared" si="50"/>
        <v>1029000</v>
      </c>
      <c r="P99" s="213">
        <f t="shared" si="32"/>
        <v>4.1497975708502027E-2</v>
      </c>
    </row>
    <row r="100" spans="1:16" x14ac:dyDescent="0.25">
      <c r="A100" s="13" t="s">
        <v>232</v>
      </c>
      <c r="B100" s="307">
        <v>1472000</v>
      </c>
      <c r="C100" s="8">
        <f>ROUND((((+$B$100*$B$50)+$B$100)),-3)</f>
        <v>1534000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395">
        <f t="shared" si="50"/>
        <v>1534000</v>
      </c>
      <c r="P100" s="213">
        <f t="shared" si="32"/>
        <v>4.2119565217391304E-2</v>
      </c>
    </row>
    <row r="101" spans="1:16" x14ac:dyDescent="0.25">
      <c r="A101" s="13" t="s">
        <v>18</v>
      </c>
      <c r="B101" s="307">
        <v>6500</v>
      </c>
      <c r="C101" s="8">
        <f>ROUND((((+$B$101*$B$50)+$B$101)),-3)</f>
        <v>7000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395">
        <f t="shared" si="50"/>
        <v>7000</v>
      </c>
      <c r="P101" s="213">
        <v>0</v>
      </c>
    </row>
    <row r="102" spans="1:16" x14ac:dyDescent="0.25">
      <c r="A102" s="13" t="s">
        <v>19</v>
      </c>
      <c r="B102" s="307">
        <v>91200</v>
      </c>
      <c r="C102" s="8">
        <f>ROUND((((+$B$102*$B$50)+$B$102)),-3)</f>
        <v>95000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395">
        <f t="shared" si="50"/>
        <v>95000</v>
      </c>
      <c r="P102" s="213">
        <f t="shared" si="32"/>
        <v>4.1666666666666664E-2</v>
      </c>
    </row>
    <row r="103" spans="1:16" x14ac:dyDescent="0.25">
      <c r="A103" s="13" t="s">
        <v>218</v>
      </c>
      <c r="B103" s="307">
        <v>134000</v>
      </c>
      <c r="C103" s="8">
        <f>ROUND((((+$B$103*$B$50)+$B$103)),-3)</f>
        <v>140000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395">
        <f t="shared" si="50"/>
        <v>140000</v>
      </c>
      <c r="P103" s="213">
        <f t="shared" si="32"/>
        <v>4.4776119402985072E-2</v>
      </c>
    </row>
    <row r="104" spans="1:16" x14ac:dyDescent="0.25">
      <c r="A104" s="13" t="s">
        <v>20</v>
      </c>
      <c r="B104" s="307">
        <v>830000</v>
      </c>
      <c r="C104" s="8">
        <f t="shared" ref="C104:N104" si="51">(ROUND(((((+$B$104*$B$50)+$B$104)/12)),-3))</f>
        <v>72000</v>
      </c>
      <c r="D104" s="8">
        <f t="shared" si="51"/>
        <v>72000</v>
      </c>
      <c r="E104" s="8">
        <f t="shared" si="51"/>
        <v>72000</v>
      </c>
      <c r="F104" s="8">
        <f t="shared" si="51"/>
        <v>72000</v>
      </c>
      <c r="G104" s="8">
        <f t="shared" si="51"/>
        <v>72000</v>
      </c>
      <c r="H104" s="8">
        <f t="shared" si="51"/>
        <v>72000</v>
      </c>
      <c r="I104" s="8">
        <f t="shared" si="51"/>
        <v>72000</v>
      </c>
      <c r="J104" s="8">
        <f t="shared" si="51"/>
        <v>72000</v>
      </c>
      <c r="K104" s="8">
        <f t="shared" si="51"/>
        <v>72000</v>
      </c>
      <c r="L104" s="8">
        <f t="shared" si="51"/>
        <v>72000</v>
      </c>
      <c r="M104" s="8">
        <f t="shared" si="51"/>
        <v>72000</v>
      </c>
      <c r="N104" s="8">
        <f t="shared" si="51"/>
        <v>72000</v>
      </c>
      <c r="O104" s="395">
        <f t="shared" si="50"/>
        <v>864000</v>
      </c>
      <c r="P104" s="213">
        <f t="shared" si="32"/>
        <v>4.0963855421686748E-2</v>
      </c>
    </row>
    <row r="105" spans="1:16" x14ac:dyDescent="0.25">
      <c r="A105" s="18" t="s">
        <v>22</v>
      </c>
      <c r="B105" s="306">
        <f t="shared" ref="B105:O105" si="52">+B106+B116+B117+B120+B122+B124+B131+B132+B144</f>
        <v>48347000</v>
      </c>
      <c r="C105" s="10">
        <f t="shared" si="52"/>
        <v>2998000</v>
      </c>
      <c r="D105" s="10">
        <f t="shared" si="52"/>
        <v>3435000</v>
      </c>
      <c r="E105" s="10">
        <f t="shared" si="52"/>
        <v>3297000</v>
      </c>
      <c r="F105" s="10">
        <f t="shared" si="52"/>
        <v>6106000</v>
      </c>
      <c r="G105" s="10">
        <f t="shared" si="52"/>
        <v>11905000</v>
      </c>
      <c r="H105" s="10">
        <f t="shared" si="52"/>
        <v>2141000</v>
      </c>
      <c r="I105" s="10">
        <f t="shared" si="52"/>
        <v>2350000</v>
      </c>
      <c r="J105" s="10">
        <f t="shared" si="52"/>
        <v>2902000</v>
      </c>
      <c r="K105" s="10">
        <f t="shared" si="52"/>
        <v>3746000</v>
      </c>
      <c r="L105" s="10">
        <f t="shared" si="52"/>
        <v>2887000</v>
      </c>
      <c r="M105" s="10">
        <f t="shared" si="52"/>
        <v>11505000</v>
      </c>
      <c r="N105" s="10">
        <f t="shared" si="52"/>
        <v>1721000</v>
      </c>
      <c r="O105" s="396">
        <f t="shared" si="52"/>
        <v>54993000</v>
      </c>
      <c r="P105" s="213">
        <f t="shared" si="32"/>
        <v>0.13746457898111569</v>
      </c>
    </row>
    <row r="106" spans="1:16" s="6" customFormat="1" x14ac:dyDescent="0.25">
      <c r="A106" s="18" t="s">
        <v>23</v>
      </c>
      <c r="B106" s="306">
        <f t="shared" ref="B106" si="53">SUM(B107:B115)</f>
        <v>13869500</v>
      </c>
      <c r="C106" s="10">
        <f t="shared" ref="C106:O106" si="54">SUM(C107:C115)</f>
        <v>1118000</v>
      </c>
      <c r="D106" s="10">
        <f t="shared" si="54"/>
        <v>1291000</v>
      </c>
      <c r="E106" s="10">
        <f t="shared" si="54"/>
        <v>1118000</v>
      </c>
      <c r="F106" s="10">
        <f t="shared" si="54"/>
        <v>1291000</v>
      </c>
      <c r="G106" s="10">
        <f t="shared" si="54"/>
        <v>1118000</v>
      </c>
      <c r="H106" s="10">
        <f t="shared" si="54"/>
        <v>1137000</v>
      </c>
      <c r="I106" s="10">
        <f t="shared" si="54"/>
        <v>1118000</v>
      </c>
      <c r="J106" s="10">
        <f t="shared" si="54"/>
        <v>1291000</v>
      </c>
      <c r="K106" s="10">
        <f t="shared" si="54"/>
        <v>1431000</v>
      </c>
      <c r="L106" s="10">
        <f t="shared" si="54"/>
        <v>1291000</v>
      </c>
      <c r="M106" s="10">
        <f t="shared" si="54"/>
        <v>1118000</v>
      </c>
      <c r="N106" s="10">
        <f t="shared" si="54"/>
        <v>1137000</v>
      </c>
      <c r="O106" s="396">
        <f t="shared" si="54"/>
        <v>14459000</v>
      </c>
      <c r="P106" s="213">
        <f t="shared" si="32"/>
        <v>4.250333465517863E-2</v>
      </c>
    </row>
    <row r="107" spans="1:16" x14ac:dyDescent="0.25">
      <c r="A107" s="13" t="s">
        <v>30</v>
      </c>
      <c r="B107" s="307">
        <v>84000</v>
      </c>
      <c r="C107" s="8">
        <f>ROUND(((+$B$107*$B$50)+$B$107)/12,-3)</f>
        <v>7000</v>
      </c>
      <c r="D107" s="8">
        <f t="shared" ref="D107:N107" si="55">ROUND(((+$B$107*$B$50)+$B$107)/12,-3)</f>
        <v>7000</v>
      </c>
      <c r="E107" s="8">
        <f t="shared" si="55"/>
        <v>7000</v>
      </c>
      <c r="F107" s="8">
        <f t="shared" si="55"/>
        <v>7000</v>
      </c>
      <c r="G107" s="8">
        <f t="shared" si="55"/>
        <v>7000</v>
      </c>
      <c r="H107" s="8">
        <f t="shared" si="55"/>
        <v>7000</v>
      </c>
      <c r="I107" s="8">
        <f t="shared" si="55"/>
        <v>7000</v>
      </c>
      <c r="J107" s="8">
        <f t="shared" si="55"/>
        <v>7000</v>
      </c>
      <c r="K107" s="8">
        <f t="shared" si="55"/>
        <v>7000</v>
      </c>
      <c r="L107" s="8">
        <f t="shared" si="55"/>
        <v>7000</v>
      </c>
      <c r="M107" s="8">
        <f t="shared" si="55"/>
        <v>7000</v>
      </c>
      <c r="N107" s="8">
        <f t="shared" si="55"/>
        <v>7000</v>
      </c>
      <c r="O107" s="397">
        <f t="shared" ref="O107" si="56">SUM(C107:N107)</f>
        <v>84000</v>
      </c>
      <c r="P107" s="213">
        <f t="shared" si="32"/>
        <v>0</v>
      </c>
    </row>
    <row r="108" spans="1:16" x14ac:dyDescent="0.25">
      <c r="A108" s="13" t="s">
        <v>36</v>
      </c>
      <c r="B108" s="307">
        <v>340000</v>
      </c>
      <c r="C108" s="8">
        <f t="shared" ref="C108:N108" si="57">ROUND(((+$B$108*$B$50)+$B$108)/12,-3)</f>
        <v>30000</v>
      </c>
      <c r="D108" s="8">
        <f t="shared" si="57"/>
        <v>30000</v>
      </c>
      <c r="E108" s="8">
        <f t="shared" si="57"/>
        <v>30000</v>
      </c>
      <c r="F108" s="8">
        <f t="shared" si="57"/>
        <v>30000</v>
      </c>
      <c r="G108" s="8">
        <f t="shared" si="57"/>
        <v>30000</v>
      </c>
      <c r="H108" s="8">
        <f t="shared" si="57"/>
        <v>30000</v>
      </c>
      <c r="I108" s="8">
        <f t="shared" si="57"/>
        <v>30000</v>
      </c>
      <c r="J108" s="8">
        <f t="shared" si="57"/>
        <v>30000</v>
      </c>
      <c r="K108" s="8">
        <f t="shared" si="57"/>
        <v>30000</v>
      </c>
      <c r="L108" s="8">
        <f t="shared" si="57"/>
        <v>30000</v>
      </c>
      <c r="M108" s="8">
        <f t="shared" si="57"/>
        <v>30000</v>
      </c>
      <c r="N108" s="8">
        <f t="shared" si="57"/>
        <v>30000</v>
      </c>
      <c r="O108" s="395">
        <f t="shared" ref="O108:O143" si="58">SUM(C108:N108)</f>
        <v>360000</v>
      </c>
      <c r="P108" s="213">
        <f t="shared" si="32"/>
        <v>5.8823529411764705E-2</v>
      </c>
    </row>
    <row r="109" spans="1:16" x14ac:dyDescent="0.25">
      <c r="A109" s="13" t="s">
        <v>394</v>
      </c>
      <c r="B109" s="307">
        <v>7662000</v>
      </c>
      <c r="C109" s="8">
        <f t="shared" ref="C109:N109" si="59">ROUND(((+$B$109*$B$50)+$B$109)/12,-3)</f>
        <v>665000</v>
      </c>
      <c r="D109" s="8">
        <f t="shared" si="59"/>
        <v>665000</v>
      </c>
      <c r="E109" s="8">
        <f t="shared" si="59"/>
        <v>665000</v>
      </c>
      <c r="F109" s="8">
        <f t="shared" si="59"/>
        <v>665000</v>
      </c>
      <c r="G109" s="8">
        <f t="shared" si="59"/>
        <v>665000</v>
      </c>
      <c r="H109" s="8">
        <f t="shared" si="59"/>
        <v>665000</v>
      </c>
      <c r="I109" s="8">
        <f t="shared" si="59"/>
        <v>665000</v>
      </c>
      <c r="J109" s="8">
        <f t="shared" si="59"/>
        <v>665000</v>
      </c>
      <c r="K109" s="8">
        <f t="shared" si="59"/>
        <v>665000</v>
      </c>
      <c r="L109" s="8">
        <f t="shared" si="59"/>
        <v>665000</v>
      </c>
      <c r="M109" s="8">
        <f t="shared" si="59"/>
        <v>665000</v>
      </c>
      <c r="N109" s="8">
        <f t="shared" si="59"/>
        <v>665000</v>
      </c>
      <c r="O109" s="395">
        <f t="shared" si="58"/>
        <v>7980000</v>
      </c>
      <c r="P109" s="213">
        <f t="shared" si="32"/>
        <v>4.1503523884103367E-2</v>
      </c>
    </row>
    <row r="110" spans="1:16" ht="14.5" x14ac:dyDescent="0.35">
      <c r="A110" s="13" t="s">
        <v>393</v>
      </c>
      <c r="B110" s="307">
        <v>300000</v>
      </c>
      <c r="C110" s="70"/>
      <c r="D110" s="70"/>
      <c r="E110" s="70"/>
      <c r="F110" s="70"/>
      <c r="G110" s="70"/>
      <c r="H110" s="70"/>
      <c r="I110" s="70"/>
      <c r="J110" s="70"/>
      <c r="K110" s="8">
        <f>ROUND(((+$B$110*$B$50)+$B$110),-3)</f>
        <v>313000</v>
      </c>
      <c r="L110" s="70"/>
      <c r="M110" s="70"/>
      <c r="N110" s="70"/>
      <c r="O110" s="395">
        <f t="shared" si="58"/>
        <v>313000</v>
      </c>
      <c r="P110" s="213">
        <f t="shared" si="32"/>
        <v>4.3333333333333335E-2</v>
      </c>
    </row>
    <row r="111" spans="1:16" x14ac:dyDescent="0.25">
      <c r="A111" s="13" t="s">
        <v>31</v>
      </c>
      <c r="B111" s="307">
        <v>3963000</v>
      </c>
      <c r="C111" s="8">
        <f t="shared" ref="C111:N111" si="60">ROUND(((+$B$111*$B$50)+$B$111)/12,-3)</f>
        <v>344000</v>
      </c>
      <c r="D111" s="8">
        <f t="shared" si="60"/>
        <v>344000</v>
      </c>
      <c r="E111" s="8">
        <f t="shared" si="60"/>
        <v>344000</v>
      </c>
      <c r="F111" s="8">
        <f t="shared" si="60"/>
        <v>344000</v>
      </c>
      <c r="G111" s="8">
        <f t="shared" si="60"/>
        <v>344000</v>
      </c>
      <c r="H111" s="8">
        <f t="shared" si="60"/>
        <v>344000</v>
      </c>
      <c r="I111" s="8">
        <f t="shared" si="60"/>
        <v>344000</v>
      </c>
      <c r="J111" s="8">
        <f t="shared" si="60"/>
        <v>344000</v>
      </c>
      <c r="K111" s="8">
        <f t="shared" si="60"/>
        <v>344000</v>
      </c>
      <c r="L111" s="8">
        <f t="shared" si="60"/>
        <v>344000</v>
      </c>
      <c r="M111" s="8">
        <f t="shared" si="60"/>
        <v>344000</v>
      </c>
      <c r="N111" s="8">
        <f t="shared" si="60"/>
        <v>344000</v>
      </c>
      <c r="O111" s="395">
        <f t="shared" si="58"/>
        <v>4128000</v>
      </c>
      <c r="P111" s="213">
        <f t="shared" si="32"/>
        <v>4.1635124905374715E-2</v>
      </c>
    </row>
    <row r="112" spans="1:16" x14ac:dyDescent="0.25">
      <c r="A112" s="13" t="s">
        <v>32</v>
      </c>
      <c r="B112" s="307">
        <v>262000</v>
      </c>
      <c r="C112" s="8">
        <f t="shared" ref="C112:N112" si="61">ROUND(((+$B$112*$B$50)+$B$112)/12,-3)</f>
        <v>23000</v>
      </c>
      <c r="D112" s="8">
        <f t="shared" si="61"/>
        <v>23000</v>
      </c>
      <c r="E112" s="8">
        <f t="shared" si="61"/>
        <v>23000</v>
      </c>
      <c r="F112" s="8">
        <f t="shared" si="61"/>
        <v>23000</v>
      </c>
      <c r="G112" s="8">
        <f t="shared" si="61"/>
        <v>23000</v>
      </c>
      <c r="H112" s="8">
        <f t="shared" si="61"/>
        <v>23000</v>
      </c>
      <c r="I112" s="8">
        <f t="shared" si="61"/>
        <v>23000</v>
      </c>
      <c r="J112" s="8">
        <f t="shared" si="61"/>
        <v>23000</v>
      </c>
      <c r="K112" s="8">
        <f t="shared" si="61"/>
        <v>23000</v>
      </c>
      <c r="L112" s="8">
        <f t="shared" si="61"/>
        <v>23000</v>
      </c>
      <c r="M112" s="8">
        <f t="shared" si="61"/>
        <v>23000</v>
      </c>
      <c r="N112" s="8">
        <f t="shared" si="61"/>
        <v>23000</v>
      </c>
      <c r="O112" s="395">
        <f t="shared" si="58"/>
        <v>276000</v>
      </c>
      <c r="P112" s="213">
        <f t="shared" si="32"/>
        <v>5.3435114503816793E-2</v>
      </c>
    </row>
    <row r="113" spans="1:16" x14ac:dyDescent="0.25">
      <c r="A113" s="13" t="s">
        <v>284</v>
      </c>
      <c r="B113" s="307">
        <v>590500</v>
      </c>
      <c r="C113" s="8"/>
      <c r="D113" s="8">
        <f>ROUND(((+$B$113*$B$50)+$B$113)/4,-3)</f>
        <v>154000</v>
      </c>
      <c r="E113" s="8"/>
      <c r="F113" s="8">
        <f>ROUND(((+$B$113*$B$50)+$B$113)/4,-3)</f>
        <v>154000</v>
      </c>
      <c r="G113" s="8"/>
      <c r="H113" s="8"/>
      <c r="I113" s="8"/>
      <c r="J113" s="8">
        <f>ROUND(((+$B$113*$B$50)+$B$113)/4,-3)</f>
        <v>154000</v>
      </c>
      <c r="K113" s="8"/>
      <c r="L113" s="8">
        <f>ROUND(((+$B$113*$B$50)+$B$113)/4,-3)</f>
        <v>154000</v>
      </c>
      <c r="M113" s="8"/>
      <c r="N113" s="8"/>
      <c r="O113" s="395">
        <f t="shared" si="58"/>
        <v>616000</v>
      </c>
      <c r="P113" s="213">
        <f t="shared" si="32"/>
        <v>4.3183742591024553E-2</v>
      </c>
    </row>
    <row r="114" spans="1:16" x14ac:dyDescent="0.25">
      <c r="A114" s="13" t="s">
        <v>243</v>
      </c>
      <c r="B114" s="307">
        <v>108000</v>
      </c>
      <c r="C114" s="8"/>
      <c r="D114" s="8">
        <f>ROUND(((+$B$114*$B$50)+$B$114)/6,-3)</f>
        <v>19000</v>
      </c>
      <c r="E114" s="8"/>
      <c r="F114" s="8">
        <f>ROUND(((+$B$114*$B$50)+$B$114)/6,-3)</f>
        <v>19000</v>
      </c>
      <c r="G114" s="8"/>
      <c r="H114" s="8">
        <f>ROUND(((+$B$114*$B$50)+$B$114)/6,-3)</f>
        <v>19000</v>
      </c>
      <c r="I114" s="8"/>
      <c r="J114" s="8">
        <f>ROUND(((+$B$114*$B$50)+$B$114)/6,-3)</f>
        <v>19000</v>
      </c>
      <c r="K114" s="8"/>
      <c r="L114" s="8">
        <f>ROUND(((+$B$114*$B$50)+$B$114)/6,-3)</f>
        <v>19000</v>
      </c>
      <c r="M114" s="8"/>
      <c r="N114" s="8">
        <f>ROUND(((+$B$114*$B$50)+$B$114)/6,-3)</f>
        <v>19000</v>
      </c>
      <c r="O114" s="395">
        <f t="shared" si="58"/>
        <v>114000</v>
      </c>
      <c r="P114" s="213">
        <f t="shared" si="32"/>
        <v>5.5555555555555552E-2</v>
      </c>
    </row>
    <row r="115" spans="1:16" x14ac:dyDescent="0.25">
      <c r="A115" s="13" t="s">
        <v>242</v>
      </c>
      <c r="B115" s="307">
        <v>560000</v>
      </c>
      <c r="C115" s="8">
        <f t="shared" ref="C115:N115" si="62">ROUND(((+$B$115*$B$50)+$B$115)/12,-3)</f>
        <v>49000</v>
      </c>
      <c r="D115" s="8">
        <f t="shared" si="62"/>
        <v>49000</v>
      </c>
      <c r="E115" s="8">
        <f t="shared" si="62"/>
        <v>49000</v>
      </c>
      <c r="F115" s="8">
        <f t="shared" si="62"/>
        <v>49000</v>
      </c>
      <c r="G115" s="8">
        <f t="shared" si="62"/>
        <v>49000</v>
      </c>
      <c r="H115" s="8">
        <f t="shared" si="62"/>
        <v>49000</v>
      </c>
      <c r="I115" s="8">
        <f t="shared" si="62"/>
        <v>49000</v>
      </c>
      <c r="J115" s="8">
        <f t="shared" si="62"/>
        <v>49000</v>
      </c>
      <c r="K115" s="8">
        <f t="shared" si="62"/>
        <v>49000</v>
      </c>
      <c r="L115" s="8">
        <f t="shared" si="62"/>
        <v>49000</v>
      </c>
      <c r="M115" s="8">
        <f t="shared" si="62"/>
        <v>49000</v>
      </c>
      <c r="N115" s="8">
        <f t="shared" si="62"/>
        <v>49000</v>
      </c>
      <c r="O115" s="395">
        <f t="shared" si="58"/>
        <v>588000</v>
      </c>
      <c r="P115" s="213">
        <f t="shared" si="32"/>
        <v>0.05</v>
      </c>
    </row>
    <row r="116" spans="1:16" s="6" customFormat="1" x14ac:dyDescent="0.25">
      <c r="A116" s="18" t="s">
        <v>24</v>
      </c>
      <c r="B116" s="306">
        <v>0</v>
      </c>
      <c r="C116" s="10"/>
      <c r="D116" s="12"/>
      <c r="E116" s="12"/>
      <c r="F116" s="8">
        <v>1250000</v>
      </c>
      <c r="G116" s="10">
        <v>0</v>
      </c>
      <c r="H116" s="12"/>
      <c r="I116" s="12"/>
      <c r="J116" s="12"/>
      <c r="K116" s="12"/>
      <c r="L116" s="12"/>
      <c r="M116" s="12"/>
      <c r="N116" s="12"/>
      <c r="O116" s="394">
        <f t="shared" si="58"/>
        <v>1250000</v>
      </c>
      <c r="P116" s="213">
        <v>1</v>
      </c>
    </row>
    <row r="117" spans="1:16" s="6" customFormat="1" x14ac:dyDescent="0.25">
      <c r="A117" s="18" t="s">
        <v>25</v>
      </c>
      <c r="B117" s="306">
        <f t="shared" ref="B117:O117" si="63">SUM(B118:B119)</f>
        <v>272000</v>
      </c>
      <c r="C117" s="10">
        <f>SUM(C118:C119)</f>
        <v>24000</v>
      </c>
      <c r="D117" s="10">
        <f t="shared" si="63"/>
        <v>24000</v>
      </c>
      <c r="E117" s="10">
        <f t="shared" si="63"/>
        <v>24000</v>
      </c>
      <c r="F117" s="10">
        <f t="shared" si="63"/>
        <v>24000</v>
      </c>
      <c r="G117" s="10">
        <f t="shared" si="63"/>
        <v>24000</v>
      </c>
      <c r="H117" s="10">
        <f t="shared" si="63"/>
        <v>24000</v>
      </c>
      <c r="I117" s="10">
        <f t="shared" si="63"/>
        <v>24000</v>
      </c>
      <c r="J117" s="10">
        <f t="shared" si="63"/>
        <v>24000</v>
      </c>
      <c r="K117" s="10">
        <f t="shared" si="63"/>
        <v>24000</v>
      </c>
      <c r="L117" s="10">
        <f t="shared" si="63"/>
        <v>24000</v>
      </c>
      <c r="M117" s="10">
        <f t="shared" si="63"/>
        <v>24000</v>
      </c>
      <c r="N117" s="10">
        <f t="shared" si="63"/>
        <v>24000</v>
      </c>
      <c r="O117" s="396">
        <f t="shared" si="63"/>
        <v>288000</v>
      </c>
      <c r="P117" s="213">
        <f t="shared" si="32"/>
        <v>5.8823529411764705E-2</v>
      </c>
    </row>
    <row r="118" spans="1:16" x14ac:dyDescent="0.25">
      <c r="A118" s="13" t="s">
        <v>38</v>
      </c>
      <c r="B118" s="307">
        <v>272000</v>
      </c>
      <c r="C118" s="8">
        <f t="shared" ref="C118:N118" si="64">ROUND(((+$B$118*$B$50)+$B$118)/12,-3)</f>
        <v>24000</v>
      </c>
      <c r="D118" s="8">
        <f t="shared" si="64"/>
        <v>24000</v>
      </c>
      <c r="E118" s="8">
        <f t="shared" si="64"/>
        <v>24000</v>
      </c>
      <c r="F118" s="8">
        <f t="shared" si="64"/>
        <v>24000</v>
      </c>
      <c r="G118" s="8">
        <f t="shared" si="64"/>
        <v>24000</v>
      </c>
      <c r="H118" s="8">
        <f t="shared" si="64"/>
        <v>24000</v>
      </c>
      <c r="I118" s="8">
        <f t="shared" si="64"/>
        <v>24000</v>
      </c>
      <c r="J118" s="8">
        <f t="shared" si="64"/>
        <v>24000</v>
      </c>
      <c r="K118" s="8">
        <f t="shared" si="64"/>
        <v>24000</v>
      </c>
      <c r="L118" s="8">
        <f t="shared" si="64"/>
        <v>24000</v>
      </c>
      <c r="M118" s="8">
        <f t="shared" si="64"/>
        <v>24000</v>
      </c>
      <c r="N118" s="8">
        <f t="shared" si="64"/>
        <v>24000</v>
      </c>
      <c r="O118" s="395">
        <f t="shared" si="58"/>
        <v>288000</v>
      </c>
      <c r="P118" s="213">
        <f t="shared" si="32"/>
        <v>5.8823529411764705E-2</v>
      </c>
    </row>
    <row r="119" spans="1:16" x14ac:dyDescent="0.25">
      <c r="A119" s="13" t="s">
        <v>37</v>
      </c>
      <c r="B119" s="307">
        <v>0</v>
      </c>
      <c r="C119" s="8">
        <f t="shared" ref="C119:N119" si="65">ROUND(((+$B$119*$B$50)+$B$119)/12,-3)</f>
        <v>0</v>
      </c>
      <c r="D119" s="8">
        <f t="shared" si="65"/>
        <v>0</v>
      </c>
      <c r="E119" s="8">
        <f t="shared" si="65"/>
        <v>0</v>
      </c>
      <c r="F119" s="8">
        <f t="shared" si="65"/>
        <v>0</v>
      </c>
      <c r="G119" s="8">
        <f t="shared" si="65"/>
        <v>0</v>
      </c>
      <c r="H119" s="8">
        <f t="shared" si="65"/>
        <v>0</v>
      </c>
      <c r="I119" s="8">
        <f t="shared" si="65"/>
        <v>0</v>
      </c>
      <c r="J119" s="8">
        <f t="shared" si="65"/>
        <v>0</v>
      </c>
      <c r="K119" s="8">
        <f t="shared" si="65"/>
        <v>0</v>
      </c>
      <c r="L119" s="8">
        <f t="shared" si="65"/>
        <v>0</v>
      </c>
      <c r="M119" s="8">
        <f t="shared" si="65"/>
        <v>0</v>
      </c>
      <c r="N119" s="8">
        <f t="shared" si="65"/>
        <v>0</v>
      </c>
      <c r="O119" s="395">
        <f t="shared" si="58"/>
        <v>0</v>
      </c>
      <c r="P119" s="213">
        <v>0</v>
      </c>
    </row>
    <row r="120" spans="1:16" s="6" customFormat="1" x14ac:dyDescent="0.25">
      <c r="A120" s="18" t="s">
        <v>26</v>
      </c>
      <c r="B120" s="306">
        <f t="shared" ref="B120:O120" si="66">SUM(B121:B121)</f>
        <v>6100000</v>
      </c>
      <c r="C120" s="10">
        <f t="shared" si="66"/>
        <v>530000</v>
      </c>
      <c r="D120" s="10">
        <f t="shared" si="66"/>
        <v>530000</v>
      </c>
      <c r="E120" s="10">
        <f t="shared" si="66"/>
        <v>530000</v>
      </c>
      <c r="F120" s="10">
        <f t="shared" si="66"/>
        <v>530000</v>
      </c>
      <c r="G120" s="10">
        <f t="shared" si="66"/>
        <v>530000</v>
      </c>
      <c r="H120" s="10">
        <f t="shared" si="66"/>
        <v>530000</v>
      </c>
      <c r="I120" s="10">
        <f t="shared" si="66"/>
        <v>530000</v>
      </c>
      <c r="J120" s="10">
        <f t="shared" si="66"/>
        <v>530000</v>
      </c>
      <c r="K120" s="10">
        <f t="shared" si="66"/>
        <v>530000</v>
      </c>
      <c r="L120" s="10">
        <f t="shared" si="66"/>
        <v>530000</v>
      </c>
      <c r="M120" s="10">
        <f t="shared" si="66"/>
        <v>530000</v>
      </c>
      <c r="N120" s="10">
        <f t="shared" si="66"/>
        <v>530000</v>
      </c>
      <c r="O120" s="396">
        <f t="shared" si="66"/>
        <v>6360000</v>
      </c>
      <c r="P120" s="213">
        <f t="shared" si="32"/>
        <v>4.2622950819672129E-2</v>
      </c>
    </row>
    <row r="121" spans="1:16" x14ac:dyDescent="0.25">
      <c r="A121" s="13" t="s">
        <v>39</v>
      </c>
      <c r="B121" s="307">
        <v>6100000</v>
      </c>
      <c r="C121" s="8">
        <f t="shared" ref="C121:N121" si="67">ROUND(((+$B$121*$B$50)+$B$121)/12,-3)</f>
        <v>530000</v>
      </c>
      <c r="D121" s="8">
        <f t="shared" si="67"/>
        <v>530000</v>
      </c>
      <c r="E121" s="8">
        <f t="shared" si="67"/>
        <v>530000</v>
      </c>
      <c r="F121" s="8">
        <f t="shared" si="67"/>
        <v>530000</v>
      </c>
      <c r="G121" s="8">
        <f t="shared" si="67"/>
        <v>530000</v>
      </c>
      <c r="H121" s="8">
        <f t="shared" si="67"/>
        <v>530000</v>
      </c>
      <c r="I121" s="8">
        <f t="shared" si="67"/>
        <v>530000</v>
      </c>
      <c r="J121" s="8">
        <f t="shared" si="67"/>
        <v>530000</v>
      </c>
      <c r="K121" s="8">
        <f t="shared" si="67"/>
        <v>530000</v>
      </c>
      <c r="L121" s="8">
        <f t="shared" si="67"/>
        <v>530000</v>
      </c>
      <c r="M121" s="8">
        <f t="shared" si="67"/>
        <v>530000</v>
      </c>
      <c r="N121" s="8">
        <f t="shared" si="67"/>
        <v>530000</v>
      </c>
      <c r="O121" s="395">
        <f t="shared" si="58"/>
        <v>6360000</v>
      </c>
      <c r="P121" s="213">
        <f t="shared" si="32"/>
        <v>4.2622950819672129E-2</v>
      </c>
    </row>
    <row r="122" spans="1:16" s="6" customFormat="1" x14ac:dyDescent="0.25">
      <c r="A122" s="18" t="s">
        <v>27</v>
      </c>
      <c r="B122" s="306">
        <f t="shared" ref="B122:O122" si="68">SUM(B123:B123)</f>
        <v>0</v>
      </c>
      <c r="C122" s="10">
        <f t="shared" si="68"/>
        <v>0</v>
      </c>
      <c r="D122" s="10">
        <f t="shared" si="68"/>
        <v>0</v>
      </c>
      <c r="E122" s="10">
        <f t="shared" si="68"/>
        <v>0</v>
      </c>
      <c r="F122" s="10">
        <f t="shared" si="68"/>
        <v>0</v>
      </c>
      <c r="G122" s="10">
        <f t="shared" si="68"/>
        <v>0</v>
      </c>
      <c r="H122" s="10">
        <f t="shared" si="68"/>
        <v>0</v>
      </c>
      <c r="I122" s="10">
        <f t="shared" si="68"/>
        <v>0</v>
      </c>
      <c r="J122" s="10">
        <f t="shared" si="68"/>
        <v>0</v>
      </c>
      <c r="K122" s="10">
        <f t="shared" si="68"/>
        <v>0</v>
      </c>
      <c r="L122" s="10">
        <f t="shared" si="68"/>
        <v>0</v>
      </c>
      <c r="M122" s="10">
        <f t="shared" si="68"/>
        <v>0</v>
      </c>
      <c r="N122" s="10">
        <f t="shared" si="68"/>
        <v>0</v>
      </c>
      <c r="O122" s="396">
        <f t="shared" si="68"/>
        <v>0</v>
      </c>
      <c r="P122" s="213">
        <v>0</v>
      </c>
    </row>
    <row r="123" spans="1:16" x14ac:dyDescent="0.25">
      <c r="A123" s="13" t="s">
        <v>131</v>
      </c>
      <c r="B123" s="307">
        <v>0</v>
      </c>
      <c r="C123" s="8">
        <f t="shared" ref="C123:N123" si="69">ROUND(((+$B$123*$B$50)+$B$123)/12,-3)</f>
        <v>0</v>
      </c>
      <c r="D123" s="8">
        <f t="shared" si="69"/>
        <v>0</v>
      </c>
      <c r="E123" s="8">
        <f t="shared" si="69"/>
        <v>0</v>
      </c>
      <c r="F123" s="8">
        <f t="shared" si="69"/>
        <v>0</v>
      </c>
      <c r="G123" s="8">
        <f t="shared" si="69"/>
        <v>0</v>
      </c>
      <c r="H123" s="8">
        <f t="shared" si="69"/>
        <v>0</v>
      </c>
      <c r="I123" s="8">
        <f t="shared" si="69"/>
        <v>0</v>
      </c>
      <c r="J123" s="8">
        <f t="shared" si="69"/>
        <v>0</v>
      </c>
      <c r="K123" s="8">
        <f t="shared" si="69"/>
        <v>0</v>
      </c>
      <c r="L123" s="8">
        <f t="shared" si="69"/>
        <v>0</v>
      </c>
      <c r="M123" s="8">
        <f t="shared" si="69"/>
        <v>0</v>
      </c>
      <c r="N123" s="8">
        <f t="shared" si="69"/>
        <v>0</v>
      </c>
      <c r="O123" s="395">
        <f t="shared" si="58"/>
        <v>0</v>
      </c>
      <c r="P123" s="213">
        <v>0</v>
      </c>
    </row>
    <row r="124" spans="1:16" s="6" customFormat="1" x14ac:dyDescent="0.25">
      <c r="A124" s="18" t="s">
        <v>28</v>
      </c>
      <c r="B124" s="306">
        <f t="shared" ref="B124:O124" si="70">SUM(B125:B130)</f>
        <v>2456500</v>
      </c>
      <c r="C124" s="10">
        <f t="shared" si="70"/>
        <v>53000</v>
      </c>
      <c r="D124" s="10">
        <f t="shared" si="70"/>
        <v>190000</v>
      </c>
      <c r="E124" s="10">
        <f t="shared" si="70"/>
        <v>473000</v>
      </c>
      <c r="F124" s="10">
        <f t="shared" si="70"/>
        <v>450000</v>
      </c>
      <c r="G124" s="10">
        <f t="shared" si="70"/>
        <v>705000</v>
      </c>
      <c r="H124" s="10">
        <f t="shared" si="70"/>
        <v>150000</v>
      </c>
      <c r="I124" s="10">
        <f t="shared" si="70"/>
        <v>133000</v>
      </c>
      <c r="J124" s="10">
        <f t="shared" si="70"/>
        <v>150000</v>
      </c>
      <c r="K124" s="10">
        <f t="shared" si="70"/>
        <v>383000</v>
      </c>
      <c r="L124" s="10">
        <f t="shared" si="70"/>
        <v>692000</v>
      </c>
      <c r="M124" s="10">
        <f t="shared" si="70"/>
        <v>133000</v>
      </c>
      <c r="N124" s="10">
        <f t="shared" si="70"/>
        <v>30000</v>
      </c>
      <c r="O124" s="396">
        <f t="shared" si="70"/>
        <v>3542000</v>
      </c>
      <c r="P124" s="213">
        <f t="shared" si="32"/>
        <v>0.44188886627315288</v>
      </c>
    </row>
    <row r="125" spans="1:16" x14ac:dyDescent="0.25">
      <c r="A125" s="13" t="s">
        <v>286</v>
      </c>
      <c r="B125" s="307">
        <v>905000</v>
      </c>
      <c r="C125" s="8"/>
      <c r="D125" s="8">
        <v>120000</v>
      </c>
      <c r="E125" s="8">
        <v>120000</v>
      </c>
      <c r="F125" s="8">
        <v>120000</v>
      </c>
      <c r="G125" s="8">
        <v>120000</v>
      </c>
      <c r="H125" s="8">
        <v>120000</v>
      </c>
      <c r="I125" s="8">
        <v>120000</v>
      </c>
      <c r="J125" s="8">
        <v>120000</v>
      </c>
      <c r="K125" s="8">
        <v>120000</v>
      </c>
      <c r="L125" s="8">
        <v>120000</v>
      </c>
      <c r="M125" s="8">
        <v>120000</v>
      </c>
      <c r="N125" s="8">
        <v>0</v>
      </c>
      <c r="O125" s="395">
        <f t="shared" si="58"/>
        <v>1200000</v>
      </c>
      <c r="P125" s="213">
        <f t="shared" ref="P125:P152" si="71">+(O125-B125)/B125</f>
        <v>0.32596685082872928</v>
      </c>
    </row>
    <row r="126" spans="1:16" x14ac:dyDescent="0.25">
      <c r="A126" s="13" t="s">
        <v>45</v>
      </c>
      <c r="B126" s="307">
        <v>148000</v>
      </c>
      <c r="C126" s="8">
        <f t="shared" ref="C126:N126" si="72">ROUND(((+$B$126*$B$50)+$B$126)/12,-3)</f>
        <v>13000</v>
      </c>
      <c r="D126" s="8">
        <f t="shared" si="72"/>
        <v>13000</v>
      </c>
      <c r="E126" s="8">
        <f t="shared" si="72"/>
        <v>13000</v>
      </c>
      <c r="F126" s="8">
        <f t="shared" si="72"/>
        <v>13000</v>
      </c>
      <c r="G126" s="8">
        <f t="shared" si="72"/>
        <v>13000</v>
      </c>
      <c r="H126" s="8">
        <f t="shared" si="72"/>
        <v>13000</v>
      </c>
      <c r="I126" s="8">
        <f t="shared" si="72"/>
        <v>13000</v>
      </c>
      <c r="J126" s="8">
        <f t="shared" si="72"/>
        <v>13000</v>
      </c>
      <c r="K126" s="8">
        <f t="shared" si="72"/>
        <v>13000</v>
      </c>
      <c r="L126" s="8">
        <f t="shared" si="72"/>
        <v>13000</v>
      </c>
      <c r="M126" s="8">
        <f t="shared" si="72"/>
        <v>13000</v>
      </c>
      <c r="N126" s="8">
        <f t="shared" si="72"/>
        <v>13000</v>
      </c>
      <c r="O126" s="395">
        <f t="shared" si="58"/>
        <v>156000</v>
      </c>
      <c r="P126" s="213">
        <f t="shared" si="71"/>
        <v>5.4054054054054057E-2</v>
      </c>
    </row>
    <row r="127" spans="1:16" x14ac:dyDescent="0.25">
      <c r="A127" s="13" t="s">
        <v>132</v>
      </c>
      <c r="B127" s="307">
        <v>163500</v>
      </c>
      <c r="C127" s="8">
        <v>40000</v>
      </c>
      <c r="D127" s="8">
        <v>40000</v>
      </c>
      <c r="E127" s="8">
        <v>40000</v>
      </c>
      <c r="F127" s="8">
        <v>250000</v>
      </c>
      <c r="G127" s="8">
        <v>30000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395">
        <f t="shared" si="58"/>
        <v>400000</v>
      </c>
      <c r="P127" s="213">
        <f t="shared" si="71"/>
        <v>1.4464831804281346</v>
      </c>
    </row>
    <row r="128" spans="1:16" x14ac:dyDescent="0.25">
      <c r="A128" s="13" t="s">
        <v>281</v>
      </c>
      <c r="B128" s="307">
        <v>1040000</v>
      </c>
      <c r="C128" s="8">
        <v>0</v>
      </c>
      <c r="D128" s="8">
        <v>0</v>
      </c>
      <c r="E128" s="8">
        <v>0</v>
      </c>
      <c r="F128" s="8"/>
      <c r="G128" s="8">
        <f>ROUND(((+$B$128*$B$50)+$B$128)/2,-3)</f>
        <v>542000</v>
      </c>
      <c r="H128" s="8">
        <v>0</v>
      </c>
      <c r="I128" s="8">
        <v>0</v>
      </c>
      <c r="J128" s="8">
        <v>0</v>
      </c>
      <c r="K128" s="8">
        <v>0</v>
      </c>
      <c r="L128" s="8">
        <f>ROUND(((+$B$128*$B$50)+$B$128)/2,-3)</f>
        <v>542000</v>
      </c>
      <c r="M128" s="8">
        <v>0</v>
      </c>
      <c r="N128" s="8">
        <v>0</v>
      </c>
      <c r="O128" s="395">
        <f t="shared" si="58"/>
        <v>1084000</v>
      </c>
      <c r="P128" s="213">
        <f t="shared" si="71"/>
        <v>4.230769230769231E-2</v>
      </c>
    </row>
    <row r="129" spans="1:17" x14ac:dyDescent="0.25">
      <c r="A129" s="13" t="s">
        <v>395</v>
      </c>
      <c r="B129" s="307">
        <v>100000</v>
      </c>
      <c r="C129" s="8">
        <v>0</v>
      </c>
      <c r="D129" s="8">
        <v>0</v>
      </c>
      <c r="E129" s="8">
        <v>300000</v>
      </c>
      <c r="F129" s="8">
        <v>50000</v>
      </c>
      <c r="G129" s="8"/>
      <c r="H129" s="8">
        <v>0</v>
      </c>
      <c r="I129" s="8">
        <v>0</v>
      </c>
      <c r="J129" s="8">
        <v>0</v>
      </c>
      <c r="K129" s="8">
        <v>250000</v>
      </c>
      <c r="L129" s="8">
        <v>0</v>
      </c>
      <c r="M129" s="8">
        <v>0</v>
      </c>
      <c r="N129" s="8">
        <v>0</v>
      </c>
      <c r="O129" s="395">
        <f t="shared" si="58"/>
        <v>600000</v>
      </c>
      <c r="P129" s="213">
        <f t="shared" si="71"/>
        <v>5</v>
      </c>
    </row>
    <row r="130" spans="1:17" s="6" customFormat="1" x14ac:dyDescent="0.25">
      <c r="A130" s="13" t="s">
        <v>47</v>
      </c>
      <c r="B130" s="307">
        <v>100000</v>
      </c>
      <c r="C130" s="8"/>
      <c r="D130" s="8">
        <f>ROUND(((+$B$130*$B$50)+$B$130)/6,-3)</f>
        <v>17000</v>
      </c>
      <c r="E130" s="8"/>
      <c r="F130" s="8">
        <f>ROUND(((+$B$130*$B$50)+$B$130)/6,-3)</f>
        <v>17000</v>
      </c>
      <c r="G130" s="8"/>
      <c r="H130" s="8">
        <f>ROUND(((+$B$130*$B$50)+$B$130)/6,-3)</f>
        <v>17000</v>
      </c>
      <c r="I130" s="8"/>
      <c r="J130" s="8">
        <f>ROUND(((+$B$130*$B$50)+$B$130)/6,-3)</f>
        <v>17000</v>
      </c>
      <c r="K130" s="8"/>
      <c r="L130" s="8">
        <f>ROUND(((+$B$130*$B$50)+$B$130)/6,-3)</f>
        <v>17000</v>
      </c>
      <c r="M130" s="12"/>
      <c r="N130" s="8">
        <f>ROUND(((+$B$130*$B$50)+$B$130)/6,-3)</f>
        <v>17000</v>
      </c>
      <c r="O130" s="395">
        <f t="shared" si="58"/>
        <v>102000</v>
      </c>
      <c r="P130" s="213">
        <f t="shared" si="71"/>
        <v>0.02</v>
      </c>
    </row>
    <row r="131" spans="1:17" x14ac:dyDescent="0.25">
      <c r="A131" s="18" t="s">
        <v>29</v>
      </c>
      <c r="B131" s="306">
        <v>0</v>
      </c>
      <c r="C131" s="10"/>
      <c r="D131" s="12"/>
      <c r="E131" s="10">
        <f>ROUND(((+$B$131*$B$50)+$B$131),-3)</f>
        <v>0</v>
      </c>
      <c r="F131" s="12"/>
      <c r="G131" s="12"/>
      <c r="H131" s="10">
        <f>ROUND(((+$B$131*$B$50)+$B$131),-3)</f>
        <v>0</v>
      </c>
      <c r="I131" s="12"/>
      <c r="J131" s="12"/>
      <c r="K131" s="10">
        <f>ROUND(((+$B$131*$B$50)+$B$131),-3)</f>
        <v>0</v>
      </c>
      <c r="L131" s="7"/>
      <c r="M131" s="7"/>
      <c r="N131" s="7"/>
      <c r="O131" s="395">
        <v>0</v>
      </c>
      <c r="P131" s="213">
        <v>0</v>
      </c>
    </row>
    <row r="132" spans="1:17" s="6" customFormat="1" x14ac:dyDescent="0.25">
      <c r="A132" s="18" t="s">
        <v>278</v>
      </c>
      <c r="B132" s="306">
        <f t="shared" ref="B132:O132" si="73">SUM(B133:B143)</f>
        <v>20405000</v>
      </c>
      <c r="C132" s="10">
        <f t="shared" si="73"/>
        <v>1173000</v>
      </c>
      <c r="D132" s="10">
        <f t="shared" si="73"/>
        <v>1300000</v>
      </c>
      <c r="E132" s="10">
        <f t="shared" si="73"/>
        <v>273000</v>
      </c>
      <c r="F132" s="10">
        <f t="shared" si="73"/>
        <v>2461000</v>
      </c>
      <c r="G132" s="10">
        <f t="shared" si="73"/>
        <v>9378000</v>
      </c>
      <c r="H132" s="10">
        <f t="shared" si="73"/>
        <v>250000</v>
      </c>
      <c r="I132" s="10">
        <f t="shared" si="73"/>
        <v>273000</v>
      </c>
      <c r="J132" s="10">
        <f t="shared" si="73"/>
        <v>250000</v>
      </c>
      <c r="K132" s="10">
        <f t="shared" si="73"/>
        <v>640000</v>
      </c>
      <c r="L132" s="10">
        <f t="shared" si="73"/>
        <v>250000</v>
      </c>
      <c r="M132" s="10">
        <f t="shared" si="73"/>
        <v>9378000</v>
      </c>
      <c r="N132" s="10">
        <f t="shared" si="73"/>
        <v>0</v>
      </c>
      <c r="O132" s="396">
        <f t="shared" si="73"/>
        <v>25626000</v>
      </c>
      <c r="P132" s="213">
        <f t="shared" si="71"/>
        <v>0.25586865964224453</v>
      </c>
    </row>
    <row r="133" spans="1:17" s="6" customFormat="1" x14ac:dyDescent="0.25">
      <c r="A133" s="13" t="s">
        <v>396</v>
      </c>
      <c r="B133" s="307">
        <v>16185000</v>
      </c>
      <c r="C133" s="8"/>
      <c r="D133" s="32"/>
      <c r="E133" s="10"/>
      <c r="F133" s="8"/>
      <c r="G133" s="8">
        <v>9105000</v>
      </c>
      <c r="H133" s="7"/>
      <c r="I133" s="8"/>
      <c r="J133" s="10"/>
      <c r="K133" s="7"/>
      <c r="L133" s="32"/>
      <c r="M133" s="8">
        <v>9105000</v>
      </c>
      <c r="N133" s="10"/>
      <c r="O133" s="395">
        <f t="shared" si="58"/>
        <v>18210000</v>
      </c>
      <c r="P133" s="213">
        <f t="shared" si="71"/>
        <v>0.12511584800741427</v>
      </c>
    </row>
    <row r="134" spans="1:17" s="6" customFormat="1" x14ac:dyDescent="0.25">
      <c r="A134" s="13" t="s">
        <v>399</v>
      </c>
      <c r="B134" s="307">
        <v>2122000</v>
      </c>
      <c r="C134" s="8"/>
      <c r="D134" s="32"/>
      <c r="E134" s="32">
        <v>0</v>
      </c>
      <c r="F134" s="8">
        <f>ROUND(((+$B$134*$B$50)+$B$134)/1,-3)</f>
        <v>2211000</v>
      </c>
      <c r="G134" s="32">
        <v>0</v>
      </c>
      <c r="H134" s="7"/>
      <c r="I134" s="8"/>
      <c r="J134" s="10"/>
      <c r="K134" s="7"/>
      <c r="L134" s="32">
        <v>0</v>
      </c>
      <c r="M134" s="10"/>
      <c r="N134" s="10"/>
      <c r="O134" s="395">
        <f t="shared" si="58"/>
        <v>2211000</v>
      </c>
      <c r="P134" s="213">
        <f t="shared" si="71"/>
        <v>4.1941564561734215E-2</v>
      </c>
    </row>
    <row r="135" spans="1:17" s="6" customFormat="1" x14ac:dyDescent="0.25">
      <c r="A135" s="13" t="s">
        <v>487</v>
      </c>
      <c r="B135" s="307">
        <v>0</v>
      </c>
      <c r="C135" s="8"/>
      <c r="D135" s="32"/>
      <c r="E135" s="32"/>
      <c r="F135" s="32"/>
      <c r="G135" s="32">
        <v>0</v>
      </c>
      <c r="H135" s="7"/>
      <c r="I135" s="8"/>
      <c r="J135" s="10"/>
      <c r="K135" s="7"/>
      <c r="L135" s="32"/>
      <c r="M135" s="10"/>
      <c r="N135" s="10"/>
      <c r="O135" s="395">
        <f t="shared" si="58"/>
        <v>0</v>
      </c>
      <c r="P135" s="213">
        <v>0</v>
      </c>
    </row>
    <row r="136" spans="1:17" s="6" customFormat="1" x14ac:dyDescent="0.25">
      <c r="A136" s="13" t="s">
        <v>792</v>
      </c>
      <c r="B136" s="307">
        <v>140000</v>
      </c>
      <c r="C136" s="8">
        <v>250000</v>
      </c>
      <c r="D136" s="32"/>
      <c r="E136" s="32"/>
      <c r="F136" s="32"/>
      <c r="G136" s="32"/>
      <c r="H136" s="7"/>
      <c r="I136" s="8"/>
      <c r="J136" s="10"/>
      <c r="K136" s="7"/>
      <c r="L136" s="32"/>
      <c r="M136" s="10"/>
      <c r="N136" s="10"/>
      <c r="O136" s="395">
        <f t="shared" si="58"/>
        <v>250000</v>
      </c>
      <c r="P136" s="213">
        <f t="shared" si="71"/>
        <v>0.7857142857142857</v>
      </c>
    </row>
    <row r="137" spans="1:17" s="6" customFormat="1" x14ac:dyDescent="0.25">
      <c r="A137" s="13" t="s">
        <v>793</v>
      </c>
      <c r="B137" s="307">
        <v>0</v>
      </c>
      <c r="C137" s="8"/>
      <c r="D137" s="32">
        <v>600000</v>
      </c>
      <c r="E137" s="32"/>
      <c r="F137" s="32"/>
      <c r="G137" s="32"/>
      <c r="H137" s="7"/>
      <c r="I137" s="8"/>
      <c r="J137" s="10"/>
      <c r="K137" s="7"/>
      <c r="L137" s="32"/>
      <c r="M137" s="10"/>
      <c r="N137" s="10"/>
      <c r="O137" s="395">
        <f t="shared" si="58"/>
        <v>600000</v>
      </c>
      <c r="P137" s="213">
        <v>1</v>
      </c>
    </row>
    <row r="138" spans="1:17" s="6" customFormat="1" x14ac:dyDescent="0.25">
      <c r="A138" s="13" t="s">
        <v>794</v>
      </c>
      <c r="B138" s="307">
        <v>0</v>
      </c>
      <c r="C138" s="8">
        <v>400000</v>
      </c>
      <c r="D138" s="8">
        <f>200000+250000</f>
        <v>450000</v>
      </c>
      <c r="E138" s="32"/>
      <c r="F138" s="32"/>
      <c r="G138" s="32"/>
      <c r="H138" s="7"/>
      <c r="I138" s="8"/>
      <c r="J138" s="10"/>
      <c r="K138" s="7"/>
      <c r="L138" s="32"/>
      <c r="M138" s="10"/>
      <c r="N138" s="10"/>
      <c r="O138" s="395">
        <f t="shared" si="58"/>
        <v>850000</v>
      </c>
      <c r="P138" s="213">
        <v>1</v>
      </c>
    </row>
    <row r="139" spans="1:17" s="6" customFormat="1" x14ac:dyDescent="0.25">
      <c r="A139" s="13" t="s">
        <v>813</v>
      </c>
      <c r="B139" s="307"/>
      <c r="C139" s="8">
        <v>500000</v>
      </c>
      <c r="D139" s="8"/>
      <c r="E139" s="32"/>
      <c r="F139" s="32"/>
      <c r="G139" s="32"/>
      <c r="H139" s="7"/>
      <c r="I139" s="8"/>
      <c r="J139" s="10"/>
      <c r="K139" s="7"/>
      <c r="L139" s="32"/>
      <c r="M139" s="10"/>
      <c r="N139" s="10"/>
      <c r="O139" s="395">
        <f t="shared" si="58"/>
        <v>500000</v>
      </c>
      <c r="P139" s="213">
        <v>1</v>
      </c>
    </row>
    <row r="140" spans="1:17" s="6" customFormat="1" x14ac:dyDescent="0.25">
      <c r="A140" s="13" t="s">
        <v>817</v>
      </c>
      <c r="B140" s="307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395">
        <f t="shared" si="58"/>
        <v>0</v>
      </c>
      <c r="P140" s="213">
        <v>1</v>
      </c>
    </row>
    <row r="141" spans="1:17" s="6" customFormat="1" x14ac:dyDescent="0.25">
      <c r="A141" s="13" t="s">
        <v>480</v>
      </c>
      <c r="B141" s="307">
        <v>130000</v>
      </c>
      <c r="C141" s="8">
        <f>ROUND(((+$B$141*$B$50)+$B$141)/6,-3)</f>
        <v>23000</v>
      </c>
      <c r="D141" s="32"/>
      <c r="E141" s="8">
        <f>ROUND(((+$B$141*$B$50)+$B$141)/6,-3)</f>
        <v>23000</v>
      </c>
      <c r="F141" s="32"/>
      <c r="G141" s="8">
        <f>ROUND(((+$B$141*$B$50)+$B$141)/6,-3)</f>
        <v>23000</v>
      </c>
      <c r="H141" s="7"/>
      <c r="I141" s="8">
        <f>ROUND(((+$B$141*$B$50)+$B$141)/6,-3)</f>
        <v>23000</v>
      </c>
      <c r="J141" s="10"/>
      <c r="K141" s="8">
        <f>ROUND(((+$B$141*$B$50)+$B$141)/6,-3)</f>
        <v>23000</v>
      </c>
      <c r="L141" s="32"/>
      <c r="M141" s="8">
        <f>ROUND(((+$B$141*$B$50)+$B$141)/6,-3)</f>
        <v>23000</v>
      </c>
      <c r="N141" s="10"/>
      <c r="O141" s="395">
        <f t="shared" si="58"/>
        <v>138000</v>
      </c>
      <c r="P141" s="213">
        <f t="shared" si="71"/>
        <v>6.1538461538461542E-2</v>
      </c>
    </row>
    <row r="142" spans="1:17" s="6" customFormat="1" x14ac:dyDescent="0.25">
      <c r="A142" s="13" t="s">
        <v>797</v>
      </c>
      <c r="B142" s="307">
        <v>352000</v>
      </c>
      <c r="C142" s="8"/>
      <c r="D142" s="32"/>
      <c r="E142" s="8"/>
      <c r="F142" s="32"/>
      <c r="G142" s="8"/>
      <c r="H142" s="7"/>
      <c r="I142" s="8"/>
      <c r="J142" s="10"/>
      <c r="K142" s="8">
        <f>ROUND(((+$B$142*$B$50)+$B$142)/1,-3)</f>
        <v>367000</v>
      </c>
      <c r="L142" s="32"/>
      <c r="M142" s="8"/>
      <c r="N142" s="10"/>
      <c r="O142" s="395">
        <f t="shared" si="58"/>
        <v>367000</v>
      </c>
      <c r="P142" s="213">
        <f t="shared" si="71"/>
        <v>4.261363636363636E-2</v>
      </c>
    </row>
    <row r="143" spans="1:17" s="6" customFormat="1" x14ac:dyDescent="0.25">
      <c r="A143" s="13" t="s">
        <v>397</v>
      </c>
      <c r="B143" s="307">
        <v>1476000</v>
      </c>
      <c r="C143" s="8"/>
      <c r="D143" s="8">
        <v>250000</v>
      </c>
      <c r="E143" s="8">
        <v>250000</v>
      </c>
      <c r="F143" s="8">
        <v>250000</v>
      </c>
      <c r="G143" s="8">
        <v>250000</v>
      </c>
      <c r="H143" s="8">
        <v>250000</v>
      </c>
      <c r="I143" s="8">
        <v>250000</v>
      </c>
      <c r="J143" s="8">
        <v>250000</v>
      </c>
      <c r="K143" s="8">
        <v>250000</v>
      </c>
      <c r="L143" s="8">
        <v>250000</v>
      </c>
      <c r="M143" s="8">
        <v>250000</v>
      </c>
      <c r="N143" s="8">
        <v>0</v>
      </c>
      <c r="O143" s="395">
        <f t="shared" si="58"/>
        <v>2500000</v>
      </c>
      <c r="P143" s="213">
        <f t="shared" si="71"/>
        <v>0.69376693766937669</v>
      </c>
    </row>
    <row r="144" spans="1:17" s="6" customFormat="1" x14ac:dyDescent="0.25">
      <c r="A144" s="18" t="s">
        <v>220</v>
      </c>
      <c r="B144" s="306">
        <f t="shared" ref="B144:O144" si="74">SUM(B145:B152)</f>
        <v>5244000</v>
      </c>
      <c r="C144" s="10">
        <f t="shared" si="74"/>
        <v>100000</v>
      </c>
      <c r="D144" s="10">
        <f t="shared" si="74"/>
        <v>100000</v>
      </c>
      <c r="E144" s="10">
        <f t="shared" si="74"/>
        <v>879000</v>
      </c>
      <c r="F144" s="10">
        <f t="shared" si="74"/>
        <v>100000</v>
      </c>
      <c r="G144" s="10">
        <f t="shared" si="74"/>
        <v>150000</v>
      </c>
      <c r="H144" s="10">
        <f t="shared" si="74"/>
        <v>50000</v>
      </c>
      <c r="I144" s="10">
        <f t="shared" si="74"/>
        <v>272000</v>
      </c>
      <c r="J144" s="10">
        <f t="shared" si="74"/>
        <v>657000</v>
      </c>
      <c r="K144" s="10">
        <f t="shared" si="74"/>
        <v>738000</v>
      </c>
      <c r="L144" s="10">
        <f t="shared" si="74"/>
        <v>100000</v>
      </c>
      <c r="M144" s="10">
        <f t="shared" si="74"/>
        <v>322000</v>
      </c>
      <c r="N144" s="10">
        <f t="shared" si="74"/>
        <v>0</v>
      </c>
      <c r="O144" s="396">
        <f t="shared" si="74"/>
        <v>3468000</v>
      </c>
      <c r="P144" s="213">
        <f t="shared" si="71"/>
        <v>-0.33867276887871856</v>
      </c>
      <c r="Q144" s="14"/>
    </row>
    <row r="145" spans="1:16" x14ac:dyDescent="0.25">
      <c r="A145" s="13" t="s">
        <v>245</v>
      </c>
      <c r="B145" s="307">
        <v>0</v>
      </c>
      <c r="C145" s="8"/>
      <c r="D145" s="8">
        <v>50000</v>
      </c>
      <c r="E145" s="8">
        <v>50000</v>
      </c>
      <c r="F145" s="8">
        <v>50000</v>
      </c>
      <c r="G145" s="8">
        <v>50000</v>
      </c>
      <c r="H145" s="8">
        <v>50000</v>
      </c>
      <c r="I145" s="8">
        <v>50000</v>
      </c>
      <c r="J145" s="8">
        <v>50000</v>
      </c>
      <c r="K145" s="8">
        <v>50000</v>
      </c>
      <c r="L145" s="8">
        <v>50000</v>
      </c>
      <c r="M145" s="8">
        <v>50000</v>
      </c>
      <c r="N145" s="8">
        <v>0</v>
      </c>
      <c r="O145" s="395">
        <f t="shared" ref="O145:O152" si="75">SUM(C145:N145)</f>
        <v>500000</v>
      </c>
      <c r="P145" s="213">
        <v>0</v>
      </c>
    </row>
    <row r="146" spans="1:16" x14ac:dyDescent="0.25">
      <c r="A146" s="13" t="s">
        <v>277</v>
      </c>
      <c r="B146" s="307">
        <v>660000</v>
      </c>
      <c r="C146" s="32"/>
      <c r="D146" s="32"/>
      <c r="E146" s="32"/>
      <c r="F146" s="32"/>
      <c r="G146" s="32"/>
      <c r="H146" s="32"/>
      <c r="I146" s="32"/>
      <c r="J146" s="32"/>
      <c r="K146" s="8">
        <f>ROUND(((+$B$146*$B$50)+$B$146),-3)</f>
        <v>688000</v>
      </c>
      <c r="L146" s="32"/>
      <c r="M146" s="32"/>
      <c r="N146" s="32"/>
      <c r="O146" s="395">
        <f t="shared" si="75"/>
        <v>688000</v>
      </c>
      <c r="P146" s="213">
        <f t="shared" si="71"/>
        <v>4.2424242424242427E-2</v>
      </c>
    </row>
    <row r="147" spans="1:16" x14ac:dyDescent="0.25">
      <c r="A147" s="13" t="s">
        <v>558</v>
      </c>
      <c r="B147" s="307">
        <v>0</v>
      </c>
      <c r="C147" s="8">
        <v>50000</v>
      </c>
      <c r="D147" s="8">
        <v>0</v>
      </c>
      <c r="E147" s="8">
        <v>50000</v>
      </c>
      <c r="F147" s="8">
        <v>0</v>
      </c>
      <c r="G147" s="8">
        <v>50000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50000</v>
      </c>
      <c r="N147" s="8">
        <v>0</v>
      </c>
      <c r="O147" s="395">
        <f t="shared" si="75"/>
        <v>200000</v>
      </c>
      <c r="P147" s="213">
        <v>1</v>
      </c>
    </row>
    <row r="148" spans="1:16" x14ac:dyDescent="0.25">
      <c r="A148" s="13" t="s">
        <v>812</v>
      </c>
      <c r="B148" s="307">
        <v>0</v>
      </c>
      <c r="C148" s="8">
        <v>50000</v>
      </c>
      <c r="D148" s="8">
        <v>50000</v>
      </c>
      <c r="E148" s="8">
        <v>0</v>
      </c>
      <c r="F148" s="8">
        <v>50000</v>
      </c>
      <c r="G148" s="8">
        <v>50000</v>
      </c>
      <c r="H148" s="8">
        <v>0</v>
      </c>
      <c r="I148" s="8">
        <v>0</v>
      </c>
      <c r="J148" s="8">
        <v>50000</v>
      </c>
      <c r="K148" s="8">
        <v>0</v>
      </c>
      <c r="L148" s="8">
        <v>50000</v>
      </c>
      <c r="M148" s="32">
        <v>0</v>
      </c>
      <c r="N148" s="32"/>
      <c r="O148" s="395">
        <f t="shared" si="75"/>
        <v>300000</v>
      </c>
      <c r="P148" s="213">
        <v>1</v>
      </c>
    </row>
    <row r="149" spans="1:16" x14ac:dyDescent="0.25">
      <c r="A149" s="13" t="s">
        <v>816</v>
      </c>
      <c r="B149" s="307"/>
      <c r="C149" s="8"/>
      <c r="D149" s="8"/>
      <c r="E149" s="8"/>
      <c r="F149" s="8">
        <v>0</v>
      </c>
      <c r="G149" s="8"/>
      <c r="H149" s="8"/>
      <c r="I149" s="8"/>
      <c r="J149" s="8"/>
      <c r="K149" s="8"/>
      <c r="L149" s="8"/>
      <c r="M149" s="32"/>
      <c r="N149" s="32"/>
      <c r="O149" s="395">
        <f t="shared" si="75"/>
        <v>0</v>
      </c>
      <c r="P149" s="213">
        <v>1</v>
      </c>
    </row>
    <row r="150" spans="1:16" x14ac:dyDescent="0.25">
      <c r="A150" s="13" t="s">
        <v>815</v>
      </c>
      <c r="B150" s="307">
        <f>520000+120000</f>
        <v>640000</v>
      </c>
      <c r="C150" s="32"/>
      <c r="D150" s="32"/>
      <c r="E150" s="8">
        <f>ROUND(((+$B$150*$B$50)+$B$150)/3,-3)</f>
        <v>222000</v>
      </c>
      <c r="F150" s="32"/>
      <c r="G150" s="32"/>
      <c r="H150" s="32"/>
      <c r="I150" s="8">
        <f>ROUND(((+$B$150*$B$50)+$B$150)/3,-3)</f>
        <v>222000</v>
      </c>
      <c r="J150" s="32"/>
      <c r="K150" s="32"/>
      <c r="L150" s="32"/>
      <c r="M150" s="8">
        <f>ROUND(((+$B$150*$B$50)+$B$150)/3,-3)</f>
        <v>222000</v>
      </c>
      <c r="N150" s="32"/>
      <c r="O150" s="395">
        <f t="shared" ref="O150" si="76">SUM(C150:N150)</f>
        <v>666000</v>
      </c>
      <c r="P150" s="213">
        <f t="shared" si="71"/>
        <v>4.0625000000000001E-2</v>
      </c>
    </row>
    <row r="151" spans="1:16" x14ac:dyDescent="0.25">
      <c r="A151" s="13" t="s">
        <v>481</v>
      </c>
      <c r="B151" s="307">
        <v>2874000</v>
      </c>
      <c r="C151" s="32"/>
      <c r="D151" s="32"/>
      <c r="E151" s="32"/>
      <c r="F151" s="32"/>
      <c r="G151" s="8">
        <v>0</v>
      </c>
      <c r="H151" s="32"/>
      <c r="I151" s="32"/>
      <c r="J151" s="32"/>
      <c r="K151" s="32"/>
      <c r="L151" s="32"/>
      <c r="M151" s="8">
        <v>0</v>
      </c>
      <c r="N151" s="32"/>
      <c r="O151" s="395">
        <f t="shared" si="75"/>
        <v>0</v>
      </c>
      <c r="P151" s="213">
        <f t="shared" si="71"/>
        <v>-1</v>
      </c>
    </row>
    <row r="152" spans="1:16" x14ac:dyDescent="0.25">
      <c r="A152" s="13" t="s">
        <v>403</v>
      </c>
      <c r="B152" s="307">
        <v>1070000</v>
      </c>
      <c r="C152" s="32">
        <v>0</v>
      </c>
      <c r="D152" s="32">
        <v>0</v>
      </c>
      <c r="E152" s="8">
        <f>ROUND(((+$B$152*$B$50)+$B$152)/2,-3)</f>
        <v>557000</v>
      </c>
      <c r="F152" s="32">
        <v>0</v>
      </c>
      <c r="G152" s="32">
        <v>0</v>
      </c>
      <c r="H152" s="32">
        <v>0</v>
      </c>
      <c r="I152" s="32">
        <v>0</v>
      </c>
      <c r="J152" s="8">
        <f>ROUND(((+$B$152*$B$50)+$B$152)/2,-3)</f>
        <v>557000</v>
      </c>
      <c r="K152" s="32">
        <v>0</v>
      </c>
      <c r="L152" s="32">
        <v>0</v>
      </c>
      <c r="M152" s="32">
        <v>0</v>
      </c>
      <c r="N152" s="32">
        <v>0</v>
      </c>
      <c r="O152" s="395">
        <f t="shared" si="75"/>
        <v>1114000</v>
      </c>
      <c r="P152" s="213">
        <f t="shared" si="71"/>
        <v>4.1121495327102804E-2</v>
      </c>
    </row>
    <row r="153" spans="1:16" x14ac:dyDescent="0.25">
      <c r="A153" s="18" t="s">
        <v>48</v>
      </c>
      <c r="B153" s="307"/>
      <c r="C153" s="10">
        <f>+C154</f>
        <v>0</v>
      </c>
      <c r="D153" s="10">
        <f t="shared" ref="D153:K153" si="77">+D154</f>
        <v>0</v>
      </c>
      <c r="E153" s="10">
        <f t="shared" si="77"/>
        <v>0</v>
      </c>
      <c r="F153" s="10">
        <f t="shared" si="77"/>
        <v>0</v>
      </c>
      <c r="G153" s="10">
        <f t="shared" si="77"/>
        <v>0</v>
      </c>
      <c r="H153" s="10">
        <f t="shared" si="77"/>
        <v>0</v>
      </c>
      <c r="I153" s="10">
        <f t="shared" si="77"/>
        <v>0</v>
      </c>
      <c r="J153" s="10">
        <f t="shared" si="77"/>
        <v>0</v>
      </c>
      <c r="K153" s="10">
        <f t="shared" si="77"/>
        <v>0</v>
      </c>
      <c r="L153" s="10">
        <f>+L154</f>
        <v>0</v>
      </c>
      <c r="M153" s="10">
        <f>+M154</f>
        <v>0</v>
      </c>
      <c r="N153" s="10">
        <f>+N154</f>
        <v>0</v>
      </c>
      <c r="O153" s="398">
        <f t="shared" ref="O153:O154" si="78">SUM(C153:N153)</f>
        <v>0</v>
      </c>
      <c r="P153" s="20"/>
    </row>
    <row r="154" spans="1:16" x14ac:dyDescent="0.25">
      <c r="A154" s="13" t="s">
        <v>49</v>
      </c>
      <c r="B154" s="307">
        <v>0</v>
      </c>
      <c r="C154" s="8">
        <f>ROUND(((+$B$154*$B$50)+$B$154)/5,-3)</f>
        <v>0</v>
      </c>
      <c r="D154" s="7"/>
      <c r="E154" s="8">
        <f>ROUND(((+$B$154*$B$50)+$B$154)/5,-3)</f>
        <v>0</v>
      </c>
      <c r="F154" s="7"/>
      <c r="G154" s="8">
        <f>ROUND(((+$B$154*$B$50)+$B$154)/5,-3)</f>
        <v>0</v>
      </c>
      <c r="H154" s="7"/>
      <c r="I154" s="8">
        <f>ROUND(((+$B$154*$B$50)+$B$154)/5,-3)</f>
        <v>0</v>
      </c>
      <c r="J154" s="7"/>
      <c r="K154" s="7"/>
      <c r="L154" s="8">
        <f>ROUND(((+$B$154*$B$50)+$B$154)/5,-3)</f>
        <v>0</v>
      </c>
      <c r="M154" s="7"/>
      <c r="N154" s="7"/>
      <c r="O154" s="397">
        <f t="shared" si="78"/>
        <v>0</v>
      </c>
      <c r="P154" s="20"/>
    </row>
    <row r="155" spans="1:16" s="6" customFormat="1" x14ac:dyDescent="0.25">
      <c r="A155" s="18" t="s">
        <v>50</v>
      </c>
      <c r="B155" s="306">
        <f t="shared" ref="B155:O155" si="79">+B156+B162</f>
        <v>7997000</v>
      </c>
      <c r="C155" s="10">
        <f t="shared" si="79"/>
        <v>2725000</v>
      </c>
      <c r="D155" s="10">
        <f t="shared" si="79"/>
        <v>0</v>
      </c>
      <c r="E155" s="10">
        <f t="shared" si="79"/>
        <v>1456000</v>
      </c>
      <c r="F155" s="10">
        <f t="shared" si="79"/>
        <v>300000</v>
      </c>
      <c r="G155" s="10">
        <f t="shared" si="79"/>
        <v>401000</v>
      </c>
      <c r="H155" s="10">
        <f t="shared" si="79"/>
        <v>417000</v>
      </c>
      <c r="I155" s="10">
        <f t="shared" si="79"/>
        <v>1163000</v>
      </c>
      <c r="J155" s="10">
        <f t="shared" si="79"/>
        <v>156000</v>
      </c>
      <c r="K155" s="10">
        <f t="shared" si="79"/>
        <v>818000</v>
      </c>
      <c r="L155" s="10">
        <f t="shared" si="79"/>
        <v>0</v>
      </c>
      <c r="M155" s="10">
        <f t="shared" si="79"/>
        <v>883000</v>
      </c>
      <c r="N155" s="10">
        <f t="shared" si="79"/>
        <v>0</v>
      </c>
      <c r="O155" s="396">
        <f t="shared" si="79"/>
        <v>8319000</v>
      </c>
      <c r="P155" s="213">
        <f t="shared" ref="P155:P223" si="80">+(O155-B155)/B155</f>
        <v>4.0265099412279605E-2</v>
      </c>
    </row>
    <row r="156" spans="1:16" x14ac:dyDescent="0.25">
      <c r="A156" s="18" t="s">
        <v>51</v>
      </c>
      <c r="B156" s="306">
        <f>+B157+B158+B159+B160</f>
        <v>1500000</v>
      </c>
      <c r="C156" s="10">
        <f>+C157+C158+C159+C160</f>
        <v>0</v>
      </c>
      <c r="D156" s="10">
        <f t="shared" ref="D156:O156" si="81">+D157+D158+D159+D160</f>
        <v>0</v>
      </c>
      <c r="E156" s="10">
        <f t="shared" si="81"/>
        <v>521000</v>
      </c>
      <c r="F156" s="10">
        <f t="shared" si="81"/>
        <v>0</v>
      </c>
      <c r="G156" s="10">
        <f t="shared" si="81"/>
        <v>0</v>
      </c>
      <c r="H156" s="10">
        <f t="shared" si="81"/>
        <v>417000</v>
      </c>
      <c r="I156" s="10">
        <f t="shared" si="81"/>
        <v>104000</v>
      </c>
      <c r="J156" s="10">
        <f t="shared" si="81"/>
        <v>0</v>
      </c>
      <c r="K156" s="10">
        <f t="shared" si="81"/>
        <v>417000</v>
      </c>
      <c r="L156" s="10">
        <f t="shared" si="81"/>
        <v>0</v>
      </c>
      <c r="M156" s="10">
        <f t="shared" si="81"/>
        <v>104000</v>
      </c>
      <c r="N156" s="10">
        <f t="shared" si="81"/>
        <v>0</v>
      </c>
      <c r="O156" s="396">
        <f t="shared" si="81"/>
        <v>1563000</v>
      </c>
      <c r="P156" s="213">
        <f t="shared" si="80"/>
        <v>4.2000000000000003E-2</v>
      </c>
    </row>
    <row r="157" spans="1:16" x14ac:dyDescent="0.25">
      <c r="A157" s="13" t="s">
        <v>125</v>
      </c>
      <c r="B157" s="307">
        <v>0</v>
      </c>
      <c r="C157" s="8">
        <f>SUM(C158:C159)</f>
        <v>0</v>
      </c>
      <c r="D157" s="8">
        <v>0</v>
      </c>
      <c r="E157" s="8">
        <v>0</v>
      </c>
      <c r="F157" s="8">
        <f>SUM(F158:F159)</f>
        <v>0</v>
      </c>
      <c r="G157" s="8">
        <v>0</v>
      </c>
      <c r="H157" s="8">
        <v>0</v>
      </c>
      <c r="I157" s="8">
        <f>SUM(I158:I159)</f>
        <v>0</v>
      </c>
      <c r="J157" s="8">
        <f>SUM(J158:J159)</f>
        <v>0</v>
      </c>
      <c r="K157" s="8">
        <v>0</v>
      </c>
      <c r="L157" s="8">
        <v>0</v>
      </c>
      <c r="M157" s="8">
        <f>SUM(M158:M159)</f>
        <v>0</v>
      </c>
      <c r="N157" s="8">
        <f>SUM(N158:N159)</f>
        <v>0</v>
      </c>
      <c r="O157" s="399">
        <f>SUM(C157:N157)</f>
        <v>0</v>
      </c>
      <c r="P157" s="213">
        <v>0</v>
      </c>
    </row>
    <row r="158" spans="1:16" x14ac:dyDescent="0.25">
      <c r="A158" s="13" t="s">
        <v>133</v>
      </c>
      <c r="B158" s="307">
        <v>700000</v>
      </c>
      <c r="C158" s="8"/>
      <c r="D158" s="7"/>
      <c r="E158" s="8">
        <f>ROUND(((+$B$158*$B$50)+$B$158)/3,-3)</f>
        <v>243000</v>
      </c>
      <c r="F158" s="8"/>
      <c r="G158" s="8"/>
      <c r="H158" s="8">
        <f>ROUND(((+$B$158*$B$50)+$B$158)/3,-3)</f>
        <v>243000</v>
      </c>
      <c r="I158" s="8"/>
      <c r="J158" s="8"/>
      <c r="K158" s="8">
        <f>ROUND(((+$B$158*$B$50)+$B$158)/3,-3)</f>
        <v>243000</v>
      </c>
      <c r="L158" s="8"/>
      <c r="M158" s="8"/>
      <c r="N158" s="8"/>
      <c r="O158" s="399">
        <f t="shared" ref="O158:O168" si="82">SUM(C158:N158)</f>
        <v>729000</v>
      </c>
      <c r="P158" s="213">
        <f t="shared" si="80"/>
        <v>4.1428571428571426E-2</v>
      </c>
    </row>
    <row r="159" spans="1:16" x14ac:dyDescent="0.25">
      <c r="A159" s="13" t="s">
        <v>398</v>
      </c>
      <c r="B159" s="307">
        <v>500000</v>
      </c>
      <c r="C159" s="8"/>
      <c r="D159" s="7"/>
      <c r="E159" s="8">
        <f>ROUND(((+$B$159*$B$50)+$B$159)/3,-3)</f>
        <v>174000</v>
      </c>
      <c r="F159" s="8"/>
      <c r="G159" s="8">
        <v>0</v>
      </c>
      <c r="H159" s="8">
        <f>ROUND(((+$B$159*$B$50)+$B$159)/3,-3)</f>
        <v>174000</v>
      </c>
      <c r="I159" s="8"/>
      <c r="J159" s="8"/>
      <c r="K159" s="8">
        <f>ROUND(((+$B$159*$B$50)+$B$159)/3,-3)</f>
        <v>174000</v>
      </c>
      <c r="L159" s="8"/>
      <c r="M159" s="8"/>
      <c r="N159" s="8"/>
      <c r="O159" s="399">
        <f t="shared" si="82"/>
        <v>522000</v>
      </c>
      <c r="P159" s="213">
        <f t="shared" si="80"/>
        <v>4.3999999999999997E-2</v>
      </c>
    </row>
    <row r="160" spans="1:16" x14ac:dyDescent="0.25">
      <c r="A160" s="18" t="s">
        <v>52</v>
      </c>
      <c r="B160" s="306">
        <f t="shared" ref="B160:O160" si="83">SUM(B161:B161)</f>
        <v>300000</v>
      </c>
      <c r="C160" s="10">
        <f t="shared" si="83"/>
        <v>0</v>
      </c>
      <c r="D160" s="10">
        <f t="shared" si="83"/>
        <v>0</v>
      </c>
      <c r="E160" s="10">
        <f t="shared" si="83"/>
        <v>104000</v>
      </c>
      <c r="F160" s="10">
        <f t="shared" si="83"/>
        <v>0</v>
      </c>
      <c r="G160" s="10">
        <f t="shared" si="83"/>
        <v>0</v>
      </c>
      <c r="H160" s="10">
        <f t="shared" si="83"/>
        <v>0</v>
      </c>
      <c r="I160" s="10">
        <f t="shared" si="83"/>
        <v>104000</v>
      </c>
      <c r="J160" s="10">
        <f t="shared" si="83"/>
        <v>0</v>
      </c>
      <c r="K160" s="10">
        <f t="shared" si="83"/>
        <v>0</v>
      </c>
      <c r="L160" s="10">
        <f t="shared" si="83"/>
        <v>0</v>
      </c>
      <c r="M160" s="10">
        <f t="shared" si="83"/>
        <v>104000</v>
      </c>
      <c r="N160" s="10">
        <f t="shared" si="83"/>
        <v>0</v>
      </c>
      <c r="O160" s="396">
        <f t="shared" si="83"/>
        <v>312000</v>
      </c>
      <c r="P160" s="213">
        <f t="shared" si="80"/>
        <v>0.04</v>
      </c>
    </row>
    <row r="161" spans="1:16" x14ac:dyDescent="0.25">
      <c r="A161" s="13" t="s">
        <v>244</v>
      </c>
      <c r="B161" s="307">
        <v>300000</v>
      </c>
      <c r="C161" s="8"/>
      <c r="D161" s="7"/>
      <c r="E161" s="8">
        <f>ROUND(((+$B$161*$B$50)+$B$161)/3,-3)</f>
        <v>104000</v>
      </c>
      <c r="F161" s="7"/>
      <c r="G161" s="7"/>
      <c r="H161" s="7"/>
      <c r="I161" s="8">
        <f>ROUND(((+$B$161*$B$50)+$B$161)/3,-3)</f>
        <v>104000</v>
      </c>
      <c r="J161" s="7"/>
      <c r="K161" s="7"/>
      <c r="L161" s="7"/>
      <c r="M161" s="8">
        <f>ROUND(((+$B$161*$B$50)+$B$161)/3,-3)</f>
        <v>104000</v>
      </c>
      <c r="N161" s="7"/>
      <c r="O161" s="399">
        <f t="shared" si="82"/>
        <v>312000</v>
      </c>
      <c r="P161" s="213">
        <f t="shared" si="80"/>
        <v>0.04</v>
      </c>
    </row>
    <row r="162" spans="1:16" x14ac:dyDescent="0.25">
      <c r="A162" s="18" t="s">
        <v>53</v>
      </c>
      <c r="B162" s="306">
        <f t="shared" ref="B162:O162" si="84">SUM(B163:B168)</f>
        <v>6497000</v>
      </c>
      <c r="C162" s="10">
        <f t="shared" si="84"/>
        <v>2725000</v>
      </c>
      <c r="D162" s="10">
        <f t="shared" si="84"/>
        <v>0</v>
      </c>
      <c r="E162" s="10">
        <f t="shared" si="84"/>
        <v>935000</v>
      </c>
      <c r="F162" s="10">
        <f t="shared" si="84"/>
        <v>300000</v>
      </c>
      <c r="G162" s="10">
        <f t="shared" si="84"/>
        <v>401000</v>
      </c>
      <c r="H162" s="10">
        <f t="shared" si="84"/>
        <v>0</v>
      </c>
      <c r="I162" s="10">
        <f t="shared" si="84"/>
        <v>1059000</v>
      </c>
      <c r="J162" s="10">
        <f t="shared" si="84"/>
        <v>156000</v>
      </c>
      <c r="K162" s="10">
        <f t="shared" si="84"/>
        <v>401000</v>
      </c>
      <c r="L162" s="10">
        <f t="shared" si="84"/>
        <v>0</v>
      </c>
      <c r="M162" s="10">
        <f t="shared" si="84"/>
        <v>779000</v>
      </c>
      <c r="N162" s="10">
        <f t="shared" si="84"/>
        <v>0</v>
      </c>
      <c r="O162" s="396">
        <f t="shared" si="84"/>
        <v>6756000</v>
      </c>
      <c r="P162" s="213">
        <f t="shared" si="80"/>
        <v>3.9864552870555639E-2</v>
      </c>
    </row>
    <row r="163" spans="1:16" x14ac:dyDescent="0.25">
      <c r="A163" s="158" t="s">
        <v>246</v>
      </c>
      <c r="B163" s="307">
        <v>2310000</v>
      </c>
      <c r="C163" s="8">
        <f>ROUND(((+$B$163*$B$50)+$B$163)/6,-3)</f>
        <v>401000</v>
      </c>
      <c r="D163" s="7"/>
      <c r="E163" s="8">
        <f>ROUND(((+$B$163*$B$50)+$B$163)/6,-3)</f>
        <v>401000</v>
      </c>
      <c r="F163" s="8"/>
      <c r="G163" s="8">
        <f>ROUND(((+$B$163*$B$50)+$B$163)/6,-3)</f>
        <v>401000</v>
      </c>
      <c r="H163" s="7"/>
      <c r="I163" s="8">
        <f>ROUND(((+$B$163*$B$50)+$B$163)/6,-3)</f>
        <v>401000</v>
      </c>
      <c r="J163" s="7"/>
      <c r="K163" s="8">
        <f>ROUND(((+$B$163*$B$50)+$B$163)/6,-3)</f>
        <v>401000</v>
      </c>
      <c r="L163" s="8"/>
      <c r="M163" s="8">
        <f>ROUND(((+$B$163*$B$50)+$B$163)/6,-3)</f>
        <v>401000</v>
      </c>
      <c r="N163" s="7"/>
      <c r="O163" s="399">
        <f t="shared" si="82"/>
        <v>2406000</v>
      </c>
      <c r="P163" s="213">
        <f t="shared" si="80"/>
        <v>4.1558441558441558E-2</v>
      </c>
    </row>
    <row r="164" spans="1:16" x14ac:dyDescent="0.25">
      <c r="A164" s="13" t="s">
        <v>134</v>
      </c>
      <c r="B164" s="307">
        <v>1087000</v>
      </c>
      <c r="C164" s="8"/>
      <c r="D164" s="7"/>
      <c r="E164" s="8">
        <f>ROUND(((+$B$164*$B$50)+$B$164)/3,-3)</f>
        <v>378000</v>
      </c>
      <c r="F164" s="8"/>
      <c r="G164" s="7"/>
      <c r="H164" s="7"/>
      <c r="I164" s="8">
        <f>ROUND(((+$B$164*$B$50)+$B$164)/3,-3)</f>
        <v>378000</v>
      </c>
      <c r="J164" s="7"/>
      <c r="K164" s="7"/>
      <c r="L164" s="7"/>
      <c r="M164" s="8">
        <f>ROUND(((+$B$164*$B$50)+$B$164)/3,-3)</f>
        <v>378000</v>
      </c>
      <c r="N164" s="7"/>
      <c r="O164" s="399">
        <f t="shared" si="82"/>
        <v>1134000</v>
      </c>
      <c r="P164" s="213">
        <f t="shared" si="80"/>
        <v>4.3238270469181231E-2</v>
      </c>
    </row>
    <row r="165" spans="1:16" x14ac:dyDescent="0.25">
      <c r="A165" s="13" t="s">
        <v>482</v>
      </c>
      <c r="B165" s="307">
        <v>280000</v>
      </c>
      <c r="C165" s="8"/>
      <c r="D165" s="7"/>
      <c r="E165" s="8"/>
      <c r="F165" s="8"/>
      <c r="G165" s="7"/>
      <c r="H165" s="7"/>
      <c r="I165" s="8">
        <f>ROUND(+$B$165,-3)</f>
        <v>280000</v>
      </c>
      <c r="J165" s="7"/>
      <c r="K165" s="7"/>
      <c r="L165" s="7"/>
      <c r="M165" s="8"/>
      <c r="N165" s="7"/>
      <c r="O165" s="399">
        <f t="shared" si="82"/>
        <v>280000</v>
      </c>
      <c r="P165" s="213">
        <f t="shared" si="80"/>
        <v>0</v>
      </c>
    </row>
    <row r="166" spans="1:16" x14ac:dyDescent="0.25">
      <c r="A166" s="13" t="s">
        <v>799</v>
      </c>
      <c r="B166" s="307">
        <v>290000</v>
      </c>
      <c r="C166" s="8"/>
      <c r="D166" s="7"/>
      <c r="E166" s="8"/>
      <c r="F166" s="8">
        <v>300000</v>
      </c>
      <c r="G166" s="7"/>
      <c r="H166" s="7"/>
      <c r="I166" s="8"/>
      <c r="J166" s="7"/>
      <c r="K166" s="7"/>
      <c r="L166" s="7"/>
      <c r="M166" s="8"/>
      <c r="N166" s="7"/>
      <c r="O166" s="399">
        <f t="shared" si="82"/>
        <v>300000</v>
      </c>
      <c r="P166" s="213">
        <f t="shared" si="80"/>
        <v>3.4482758620689655E-2</v>
      </c>
    </row>
    <row r="167" spans="1:16" x14ac:dyDescent="0.25">
      <c r="A167" s="13" t="s">
        <v>800</v>
      </c>
      <c r="B167" s="307">
        <v>300000</v>
      </c>
      <c r="C167" s="8"/>
      <c r="D167" s="7"/>
      <c r="E167" s="8">
        <f>ROUND(((+$B$167*$B$50)+$B$167)/2,-3)</f>
        <v>156000</v>
      </c>
      <c r="F167" s="8"/>
      <c r="G167" s="7"/>
      <c r="H167" s="7"/>
      <c r="I167" s="8"/>
      <c r="J167" s="8">
        <f>ROUND(((+$B$167*$B$50)+$B$167)/2,-3)</f>
        <v>156000</v>
      </c>
      <c r="K167" s="7"/>
      <c r="L167" s="7"/>
      <c r="M167" s="8"/>
      <c r="N167" s="7"/>
      <c r="O167" s="399">
        <f t="shared" si="82"/>
        <v>312000</v>
      </c>
      <c r="P167" s="213">
        <f t="shared" si="80"/>
        <v>0.04</v>
      </c>
    </row>
    <row r="168" spans="1:16" x14ac:dyDescent="0.25">
      <c r="A168" s="13" t="s">
        <v>798</v>
      </c>
      <c r="B168" s="307">
        <v>2230000</v>
      </c>
      <c r="C168" s="8">
        <f>ROUND(((+$B$168*$B$50)+$B$168)/1,-3)</f>
        <v>2324000</v>
      </c>
      <c r="D168" s="7"/>
      <c r="E168" s="8">
        <v>0</v>
      </c>
      <c r="F168" s="8"/>
      <c r="G168" s="7"/>
      <c r="H168" s="7"/>
      <c r="I168" s="8">
        <v>0</v>
      </c>
      <c r="J168" s="7"/>
      <c r="K168" s="7"/>
      <c r="L168" s="7"/>
      <c r="M168" s="8">
        <v>0</v>
      </c>
      <c r="N168" s="7"/>
      <c r="O168" s="399">
        <f t="shared" si="82"/>
        <v>2324000</v>
      </c>
      <c r="P168" s="213">
        <f t="shared" si="80"/>
        <v>4.2152466367713005E-2</v>
      </c>
    </row>
    <row r="169" spans="1:16" s="6" customFormat="1" x14ac:dyDescent="0.25">
      <c r="A169" s="18" t="s">
        <v>57</v>
      </c>
      <c r="B169" s="306">
        <f t="shared" ref="B169:O169" si="85">+B170+B175+B178+B182</f>
        <v>12102000</v>
      </c>
      <c r="C169" s="10">
        <f t="shared" si="85"/>
        <v>0</v>
      </c>
      <c r="D169" s="10">
        <f t="shared" si="85"/>
        <v>306000</v>
      </c>
      <c r="E169" s="10">
        <f t="shared" si="85"/>
        <v>306000</v>
      </c>
      <c r="F169" s="10">
        <f t="shared" si="85"/>
        <v>306000</v>
      </c>
      <c r="G169" s="10">
        <f t="shared" si="85"/>
        <v>231000</v>
      </c>
      <c r="H169" s="10">
        <f t="shared" si="85"/>
        <v>231000</v>
      </c>
      <c r="I169" s="10">
        <f t="shared" si="85"/>
        <v>231000</v>
      </c>
      <c r="J169" s="10">
        <f t="shared" si="85"/>
        <v>2276000</v>
      </c>
      <c r="K169" s="10">
        <f t="shared" si="85"/>
        <v>2276000</v>
      </c>
      <c r="L169" s="10">
        <f t="shared" si="85"/>
        <v>231000</v>
      </c>
      <c r="M169" s="10">
        <f t="shared" si="85"/>
        <v>5211000</v>
      </c>
      <c r="N169" s="10">
        <f t="shared" si="85"/>
        <v>0</v>
      </c>
      <c r="O169" s="306">
        <f t="shared" si="85"/>
        <v>11605000</v>
      </c>
      <c r="P169" s="213">
        <f t="shared" si="80"/>
        <v>-4.1067592133531651E-2</v>
      </c>
    </row>
    <row r="170" spans="1:16" x14ac:dyDescent="0.25">
      <c r="A170" s="18" t="s">
        <v>59</v>
      </c>
      <c r="B170" s="306">
        <f t="shared" ref="B170:O170" si="86">SUM(B171:B174)</f>
        <v>1000000</v>
      </c>
      <c r="C170" s="10">
        <f t="shared" si="86"/>
        <v>0</v>
      </c>
      <c r="D170" s="10">
        <f t="shared" si="86"/>
        <v>0</v>
      </c>
      <c r="E170" s="10">
        <f t="shared" si="86"/>
        <v>0</v>
      </c>
      <c r="F170" s="10">
        <f t="shared" si="86"/>
        <v>0</v>
      </c>
      <c r="G170" s="10">
        <f t="shared" si="86"/>
        <v>0</v>
      </c>
      <c r="H170" s="10">
        <f t="shared" si="86"/>
        <v>0</v>
      </c>
      <c r="I170" s="10">
        <f t="shared" si="86"/>
        <v>0</v>
      </c>
      <c r="J170" s="10">
        <f t="shared" si="86"/>
        <v>1000000</v>
      </c>
      <c r="K170" s="10">
        <f t="shared" si="86"/>
        <v>1100000</v>
      </c>
      <c r="L170" s="10">
        <f t="shared" si="86"/>
        <v>0</v>
      </c>
      <c r="M170" s="10">
        <f t="shared" si="86"/>
        <v>2000000</v>
      </c>
      <c r="N170" s="10">
        <f t="shared" si="86"/>
        <v>0</v>
      </c>
      <c r="O170" s="396">
        <f t="shared" si="86"/>
        <v>4100000</v>
      </c>
      <c r="P170" s="213">
        <f t="shared" si="80"/>
        <v>3.1</v>
      </c>
    </row>
    <row r="171" spans="1:16" s="6" customFormat="1" x14ac:dyDescent="0.25">
      <c r="A171" s="13" t="s">
        <v>279</v>
      </c>
      <c r="B171" s="307"/>
      <c r="C171" s="32"/>
      <c r="D171" s="32"/>
      <c r="E171" s="32"/>
      <c r="F171" s="32"/>
      <c r="G171" s="32"/>
      <c r="H171" s="32"/>
      <c r="I171" s="32"/>
      <c r="J171" s="32"/>
      <c r="K171" s="32">
        <v>100000</v>
      </c>
      <c r="L171" s="32"/>
      <c r="M171" s="32"/>
      <c r="N171" s="32"/>
      <c r="O171" s="399">
        <f t="shared" ref="O171:O182" si="87">SUM(C171:N171)</f>
        <v>100000</v>
      </c>
      <c r="P171" s="213">
        <v>0</v>
      </c>
    </row>
    <row r="172" spans="1:16" s="6" customFormat="1" x14ac:dyDescent="0.25">
      <c r="A172" s="13" t="s">
        <v>544</v>
      </c>
      <c r="B172" s="307">
        <v>0</v>
      </c>
      <c r="C172" s="32"/>
      <c r="D172" s="8">
        <f>ROUND(((+$B$172*$B$50)+$B$172)/2,-3)</f>
        <v>0</v>
      </c>
      <c r="E172" s="32"/>
      <c r="F172" s="32"/>
      <c r="G172" s="32"/>
      <c r="H172" s="32"/>
      <c r="I172" s="32"/>
      <c r="J172" s="8">
        <f>ROUND(((+$B$172*$B$50)+$B$172)/2,-3)</f>
        <v>0</v>
      </c>
      <c r="K172" s="32"/>
      <c r="L172" s="32"/>
      <c r="M172" s="32"/>
      <c r="N172" s="32"/>
      <c r="O172" s="399">
        <f t="shared" si="87"/>
        <v>0</v>
      </c>
      <c r="P172" s="213">
        <v>0</v>
      </c>
    </row>
    <row r="173" spans="1:16" s="6" customFormat="1" x14ac:dyDescent="0.25">
      <c r="A173" s="13" t="s">
        <v>818</v>
      </c>
      <c r="B173" s="307">
        <v>0</v>
      </c>
      <c r="C173" s="32"/>
      <c r="D173" s="8"/>
      <c r="E173" s="32"/>
      <c r="F173" s="32"/>
      <c r="G173" s="32">
        <v>0</v>
      </c>
      <c r="H173" s="32"/>
      <c r="I173" s="32"/>
      <c r="J173" s="8"/>
      <c r="K173" s="32"/>
      <c r="L173" s="32"/>
      <c r="M173" s="32"/>
      <c r="N173" s="32"/>
      <c r="O173" s="399">
        <f t="shared" si="87"/>
        <v>0</v>
      </c>
      <c r="P173" s="213">
        <v>1</v>
      </c>
    </row>
    <row r="174" spans="1:16" s="6" customFormat="1" x14ac:dyDescent="0.25">
      <c r="A174" s="13" t="s">
        <v>247</v>
      </c>
      <c r="B174" s="307">
        <v>1000000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1000000</v>
      </c>
      <c r="K174" s="8">
        <v>1000000</v>
      </c>
      <c r="L174" s="8">
        <v>0</v>
      </c>
      <c r="M174" s="8">
        <v>2000000</v>
      </c>
      <c r="N174" s="8">
        <v>0</v>
      </c>
      <c r="O174" s="399">
        <f t="shared" si="87"/>
        <v>4000000</v>
      </c>
      <c r="P174" s="213">
        <f t="shared" si="80"/>
        <v>3</v>
      </c>
    </row>
    <row r="175" spans="1:16" x14ac:dyDescent="0.25">
      <c r="A175" s="18" t="s">
        <v>61</v>
      </c>
      <c r="B175" s="306">
        <f>+SUM(B176:B177)</f>
        <v>3302000</v>
      </c>
      <c r="C175" s="10">
        <f>+SUM(C176:C177)</f>
        <v>0</v>
      </c>
      <c r="D175" s="10">
        <f t="shared" ref="D175:O175" si="88">+SUM(D176:D177)</f>
        <v>0</v>
      </c>
      <c r="E175" s="10">
        <f t="shared" si="88"/>
        <v>0</v>
      </c>
      <c r="F175" s="10">
        <f t="shared" si="88"/>
        <v>0</v>
      </c>
      <c r="G175" s="10">
        <f t="shared" si="88"/>
        <v>0</v>
      </c>
      <c r="H175" s="10">
        <f t="shared" si="88"/>
        <v>0</v>
      </c>
      <c r="I175" s="10">
        <f t="shared" si="88"/>
        <v>0</v>
      </c>
      <c r="J175" s="10">
        <f t="shared" si="88"/>
        <v>500000</v>
      </c>
      <c r="K175" s="10">
        <f t="shared" si="88"/>
        <v>400000</v>
      </c>
      <c r="L175" s="10">
        <f t="shared" si="88"/>
        <v>0</v>
      </c>
      <c r="M175" s="10">
        <f t="shared" si="88"/>
        <v>1410000</v>
      </c>
      <c r="N175" s="10">
        <f t="shared" si="88"/>
        <v>0</v>
      </c>
      <c r="O175" s="396">
        <f t="shared" si="88"/>
        <v>2310000</v>
      </c>
      <c r="P175" s="213">
        <f t="shared" si="80"/>
        <v>-0.30042398546335553</v>
      </c>
    </row>
    <row r="176" spans="1:16" x14ac:dyDescent="0.25">
      <c r="A176" s="13" t="s">
        <v>801</v>
      </c>
      <c r="B176" s="307">
        <v>502000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399">
        <f t="shared" si="87"/>
        <v>0</v>
      </c>
      <c r="P176" s="213">
        <f t="shared" si="80"/>
        <v>-1</v>
      </c>
    </row>
    <row r="177" spans="1:16" s="6" customFormat="1" x14ac:dyDescent="0.25">
      <c r="A177" s="13" t="s">
        <v>802</v>
      </c>
      <c r="B177" s="307">
        <v>2800000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500000</v>
      </c>
      <c r="K177" s="8">
        <f>400000</f>
        <v>400000</v>
      </c>
      <c r="L177" s="8">
        <v>0</v>
      </c>
      <c r="M177" s="8">
        <f>1060000+350000</f>
        <v>1410000</v>
      </c>
      <c r="N177" s="8">
        <v>0</v>
      </c>
      <c r="O177" s="399">
        <f t="shared" si="87"/>
        <v>2310000</v>
      </c>
      <c r="P177" s="213">
        <f t="shared" si="80"/>
        <v>-0.17499999999999999</v>
      </c>
    </row>
    <row r="178" spans="1:16" x14ac:dyDescent="0.25">
      <c r="A178" s="18" t="s">
        <v>63</v>
      </c>
      <c r="B178" s="306">
        <f t="shared" ref="B178:O178" si="89">SUM(B181:B181)</f>
        <v>1500000</v>
      </c>
      <c r="C178" s="10">
        <f t="shared" si="89"/>
        <v>0</v>
      </c>
      <c r="D178" s="10">
        <f t="shared" si="89"/>
        <v>156000</v>
      </c>
      <c r="E178" s="10">
        <f t="shared" si="89"/>
        <v>156000</v>
      </c>
      <c r="F178" s="10">
        <f t="shared" si="89"/>
        <v>156000</v>
      </c>
      <c r="G178" s="10">
        <f t="shared" si="89"/>
        <v>156000</v>
      </c>
      <c r="H178" s="10">
        <f t="shared" si="89"/>
        <v>156000</v>
      </c>
      <c r="I178" s="10">
        <f t="shared" si="89"/>
        <v>156000</v>
      </c>
      <c r="J178" s="10">
        <f t="shared" si="89"/>
        <v>156000</v>
      </c>
      <c r="K178" s="10">
        <f t="shared" si="89"/>
        <v>156000</v>
      </c>
      <c r="L178" s="10">
        <f t="shared" si="89"/>
        <v>156000</v>
      </c>
      <c r="M178" s="10">
        <f t="shared" si="89"/>
        <v>156000</v>
      </c>
      <c r="N178" s="10">
        <f t="shared" si="89"/>
        <v>0</v>
      </c>
      <c r="O178" s="396">
        <f t="shared" si="89"/>
        <v>1560000</v>
      </c>
      <c r="P178" s="213">
        <f t="shared" si="80"/>
        <v>0.04</v>
      </c>
    </row>
    <row r="179" spans="1:16" x14ac:dyDescent="0.25">
      <c r="A179" s="13" t="s">
        <v>803</v>
      </c>
      <c r="B179" s="307">
        <v>1120000</v>
      </c>
      <c r="C179" s="10"/>
      <c r="D179" s="10"/>
      <c r="E179" s="10"/>
      <c r="F179" s="10"/>
      <c r="G179" s="10"/>
      <c r="H179" s="10"/>
      <c r="I179" s="10"/>
      <c r="J179" s="10"/>
      <c r="K179" s="8">
        <f>ROUND(((+$B$179*$B$50)+$B$179)/1,-3)</f>
        <v>1167000</v>
      </c>
      <c r="L179" s="10"/>
      <c r="M179" s="10"/>
      <c r="N179" s="10"/>
      <c r="O179" s="399">
        <f t="shared" si="87"/>
        <v>1167000</v>
      </c>
      <c r="P179" s="213">
        <f t="shared" si="80"/>
        <v>4.1964285714285711E-2</v>
      </c>
    </row>
    <row r="180" spans="1:16" x14ac:dyDescent="0.25">
      <c r="A180" s="13" t="s">
        <v>820</v>
      </c>
      <c r="B180" s="307"/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399">
        <f t="shared" si="87"/>
        <v>0</v>
      </c>
      <c r="P180" s="213">
        <v>1</v>
      </c>
    </row>
    <row r="181" spans="1:16" x14ac:dyDescent="0.25">
      <c r="A181" s="13" t="s">
        <v>248</v>
      </c>
      <c r="B181" s="307">
        <v>1500000</v>
      </c>
      <c r="C181" s="8"/>
      <c r="D181" s="8">
        <f t="shared" ref="D181:M181" si="90">ROUND(((+$B$181*$B$50)+$B$181)/10,-3)</f>
        <v>156000</v>
      </c>
      <c r="E181" s="8">
        <f t="shared" si="90"/>
        <v>156000</v>
      </c>
      <c r="F181" s="8">
        <f t="shared" si="90"/>
        <v>156000</v>
      </c>
      <c r="G181" s="8">
        <f t="shared" si="90"/>
        <v>156000</v>
      </c>
      <c r="H181" s="8">
        <f t="shared" si="90"/>
        <v>156000</v>
      </c>
      <c r="I181" s="8">
        <f t="shared" si="90"/>
        <v>156000</v>
      </c>
      <c r="J181" s="8">
        <f t="shared" si="90"/>
        <v>156000</v>
      </c>
      <c r="K181" s="8">
        <f t="shared" si="90"/>
        <v>156000</v>
      </c>
      <c r="L181" s="8">
        <f t="shared" si="90"/>
        <v>156000</v>
      </c>
      <c r="M181" s="8">
        <f t="shared" si="90"/>
        <v>156000</v>
      </c>
      <c r="N181" s="8"/>
      <c r="O181" s="399">
        <f t="shared" si="87"/>
        <v>1560000</v>
      </c>
      <c r="P181" s="213">
        <f t="shared" si="80"/>
        <v>0.04</v>
      </c>
    </row>
    <row r="182" spans="1:16" s="6" customFormat="1" x14ac:dyDescent="0.25">
      <c r="A182" s="18" t="s">
        <v>64</v>
      </c>
      <c r="B182" s="307">
        <v>6300000</v>
      </c>
      <c r="C182" s="8">
        <v>0</v>
      </c>
      <c r="D182" s="8">
        <f>75000+75000</f>
        <v>150000</v>
      </c>
      <c r="E182" s="8">
        <f>75000+75000</f>
        <v>150000</v>
      </c>
      <c r="F182" s="8">
        <f>75000+75000</f>
        <v>150000</v>
      </c>
      <c r="G182" s="8">
        <v>75000</v>
      </c>
      <c r="H182" s="8">
        <v>75000</v>
      </c>
      <c r="I182" s="8">
        <v>75000</v>
      </c>
      <c r="J182" s="8">
        <f>75000+75000+470000</f>
        <v>620000</v>
      </c>
      <c r="K182" s="8">
        <f>75000+75000+470000</f>
        <v>620000</v>
      </c>
      <c r="L182" s="8">
        <v>75000</v>
      </c>
      <c r="M182" s="8">
        <f>1250000+75000+320000</f>
        <v>1645000</v>
      </c>
      <c r="N182" s="8">
        <v>0</v>
      </c>
      <c r="O182" s="399">
        <f t="shared" si="87"/>
        <v>3635000</v>
      </c>
      <c r="P182" s="213">
        <f t="shared" si="80"/>
        <v>-0.42301587301587301</v>
      </c>
    </row>
    <row r="183" spans="1:16" x14ac:dyDescent="0.25">
      <c r="A183" s="18" t="s">
        <v>58</v>
      </c>
      <c r="B183" s="306">
        <f t="shared" ref="B183:O183" si="91">SUM(B184:B186)</f>
        <v>79867000</v>
      </c>
      <c r="C183" s="10">
        <f t="shared" si="91"/>
        <v>7400000</v>
      </c>
      <c r="D183" s="10">
        <f t="shared" si="91"/>
        <v>7400000</v>
      </c>
      <c r="E183" s="10">
        <f t="shared" si="91"/>
        <v>7400000</v>
      </c>
      <c r="F183" s="10">
        <f t="shared" si="91"/>
        <v>7400000</v>
      </c>
      <c r="G183" s="10">
        <f t="shared" si="91"/>
        <v>7400000</v>
      </c>
      <c r="H183" s="10">
        <f t="shared" si="91"/>
        <v>7400000</v>
      </c>
      <c r="I183" s="10">
        <f t="shared" si="91"/>
        <v>7400000</v>
      </c>
      <c r="J183" s="10">
        <f t="shared" si="91"/>
        <v>7400000</v>
      </c>
      <c r="K183" s="10">
        <f t="shared" si="91"/>
        <v>7400000</v>
      </c>
      <c r="L183" s="10">
        <f t="shared" si="91"/>
        <v>7400000</v>
      </c>
      <c r="M183" s="10">
        <f t="shared" si="91"/>
        <v>7400000</v>
      </c>
      <c r="N183" s="10">
        <f t="shared" si="91"/>
        <v>7400000</v>
      </c>
      <c r="O183" s="396">
        <f t="shared" si="91"/>
        <v>88800000</v>
      </c>
      <c r="P183" s="213">
        <f t="shared" si="80"/>
        <v>0.11184844804487461</v>
      </c>
    </row>
    <row r="184" spans="1:16" x14ac:dyDescent="0.25">
      <c r="A184" s="13" t="s">
        <v>51</v>
      </c>
      <c r="B184" s="307">
        <v>32000000</v>
      </c>
      <c r="C184" s="8">
        <v>3300000</v>
      </c>
      <c r="D184" s="8">
        <v>3300000</v>
      </c>
      <c r="E184" s="8">
        <v>3300000</v>
      </c>
      <c r="F184" s="8">
        <v>3300000</v>
      </c>
      <c r="G184" s="8">
        <v>3300000</v>
      </c>
      <c r="H184" s="8">
        <v>3300000</v>
      </c>
      <c r="I184" s="8">
        <v>3300000</v>
      </c>
      <c r="J184" s="8">
        <v>3300000</v>
      </c>
      <c r="K184" s="8">
        <v>3300000</v>
      </c>
      <c r="L184" s="8">
        <v>3300000</v>
      </c>
      <c r="M184" s="8">
        <v>3300000</v>
      </c>
      <c r="N184" s="8">
        <v>3300000</v>
      </c>
      <c r="O184" s="399">
        <f t="shared" ref="O184:O186" si="92">SUM(C184:N184)</f>
        <v>39600000</v>
      </c>
      <c r="P184" s="213">
        <f t="shared" ref="P184" si="93">+(O184-B184)/B184</f>
        <v>0.23749999999999999</v>
      </c>
    </row>
    <row r="185" spans="1:16" x14ac:dyDescent="0.25">
      <c r="A185" s="13" t="s">
        <v>53</v>
      </c>
      <c r="B185" s="307">
        <v>20000000</v>
      </c>
      <c r="C185" s="8">
        <v>2500000</v>
      </c>
      <c r="D185" s="8">
        <v>2500000</v>
      </c>
      <c r="E185" s="8">
        <v>2500000</v>
      </c>
      <c r="F185" s="8">
        <v>2500000</v>
      </c>
      <c r="G185" s="8">
        <v>2500000</v>
      </c>
      <c r="H185" s="8">
        <v>2500000</v>
      </c>
      <c r="I185" s="8">
        <v>2500000</v>
      </c>
      <c r="J185" s="8">
        <v>2500000</v>
      </c>
      <c r="K185" s="8">
        <v>2500000</v>
      </c>
      <c r="L185" s="8">
        <v>2500000</v>
      </c>
      <c r="M185" s="8">
        <v>2500000</v>
      </c>
      <c r="N185" s="8">
        <v>2500000</v>
      </c>
      <c r="O185" s="399">
        <f t="shared" si="92"/>
        <v>30000000</v>
      </c>
      <c r="P185" s="213">
        <f t="shared" si="80"/>
        <v>0.5</v>
      </c>
    </row>
    <row r="186" spans="1:16" x14ac:dyDescent="0.25">
      <c r="A186" s="13" t="s">
        <v>66</v>
      </c>
      <c r="B186" s="307">
        <v>27867000</v>
      </c>
      <c r="C186" s="8">
        <v>1600000</v>
      </c>
      <c r="D186" s="8">
        <v>1600000</v>
      </c>
      <c r="E186" s="8">
        <v>1600000</v>
      </c>
      <c r="F186" s="8">
        <v>1600000</v>
      </c>
      <c r="G186" s="8">
        <v>1600000</v>
      </c>
      <c r="H186" s="8">
        <v>1600000</v>
      </c>
      <c r="I186" s="8">
        <v>1600000</v>
      </c>
      <c r="J186" s="8">
        <v>1600000</v>
      </c>
      <c r="K186" s="8">
        <v>1600000</v>
      </c>
      <c r="L186" s="8">
        <v>1600000</v>
      </c>
      <c r="M186" s="8">
        <v>1600000</v>
      </c>
      <c r="N186" s="8">
        <v>1600000</v>
      </c>
      <c r="O186" s="399">
        <f t="shared" si="92"/>
        <v>19200000</v>
      </c>
      <c r="P186" s="213">
        <f t="shared" si="80"/>
        <v>-0.31101302615997417</v>
      </c>
    </row>
    <row r="187" spans="1:16" s="6" customFormat="1" x14ac:dyDescent="0.25">
      <c r="A187" s="18" t="s">
        <v>67</v>
      </c>
      <c r="B187" s="306">
        <v>0</v>
      </c>
      <c r="C187" s="10">
        <f>+C188</f>
        <v>0</v>
      </c>
      <c r="D187" s="10">
        <f t="shared" ref="D187:O187" si="94">+D188</f>
        <v>0</v>
      </c>
      <c r="E187" s="10">
        <f t="shared" si="94"/>
        <v>0</v>
      </c>
      <c r="F187" s="10">
        <f t="shared" si="94"/>
        <v>0</v>
      </c>
      <c r="G187" s="10">
        <f t="shared" si="94"/>
        <v>0</v>
      </c>
      <c r="H187" s="10">
        <f t="shared" si="94"/>
        <v>0</v>
      </c>
      <c r="I187" s="10">
        <f t="shared" si="94"/>
        <v>0</v>
      </c>
      <c r="J187" s="10">
        <f t="shared" si="94"/>
        <v>0</v>
      </c>
      <c r="K187" s="10">
        <f t="shared" si="94"/>
        <v>0</v>
      </c>
      <c r="L187" s="10">
        <f t="shared" si="94"/>
        <v>0</v>
      </c>
      <c r="M187" s="10">
        <f t="shared" si="94"/>
        <v>0</v>
      </c>
      <c r="N187" s="10">
        <f t="shared" si="94"/>
        <v>0</v>
      </c>
      <c r="O187" s="396">
        <f t="shared" si="94"/>
        <v>0</v>
      </c>
      <c r="P187" s="213">
        <v>0</v>
      </c>
    </row>
    <row r="188" spans="1:16" x14ac:dyDescent="0.25">
      <c r="A188" s="18" t="s">
        <v>68</v>
      </c>
      <c r="B188" s="306">
        <f t="shared" ref="B188:O188" si="95">SUM(B189:B189)</f>
        <v>0</v>
      </c>
      <c r="C188" s="10">
        <f t="shared" si="95"/>
        <v>0</v>
      </c>
      <c r="D188" s="10">
        <f t="shared" si="95"/>
        <v>0</v>
      </c>
      <c r="E188" s="10">
        <f t="shared" si="95"/>
        <v>0</v>
      </c>
      <c r="F188" s="10">
        <f t="shared" si="95"/>
        <v>0</v>
      </c>
      <c r="G188" s="10">
        <f t="shared" si="95"/>
        <v>0</v>
      </c>
      <c r="H188" s="10">
        <f t="shared" si="95"/>
        <v>0</v>
      </c>
      <c r="I188" s="10">
        <f t="shared" si="95"/>
        <v>0</v>
      </c>
      <c r="J188" s="10">
        <f t="shared" si="95"/>
        <v>0</v>
      </c>
      <c r="K188" s="10">
        <f t="shared" si="95"/>
        <v>0</v>
      </c>
      <c r="L188" s="10">
        <f t="shared" si="95"/>
        <v>0</v>
      </c>
      <c r="M188" s="10">
        <f t="shared" si="95"/>
        <v>0</v>
      </c>
      <c r="N188" s="10">
        <f t="shared" si="95"/>
        <v>0</v>
      </c>
      <c r="O188" s="396">
        <f t="shared" si="95"/>
        <v>0</v>
      </c>
      <c r="P188" s="213">
        <v>0</v>
      </c>
    </row>
    <row r="189" spans="1:16" x14ac:dyDescent="0.25">
      <c r="A189" s="13" t="s">
        <v>121</v>
      </c>
      <c r="B189" s="307">
        <v>0</v>
      </c>
      <c r="C189" s="8"/>
      <c r="D189" s="8"/>
      <c r="E189" s="8"/>
      <c r="F189" s="8">
        <v>0</v>
      </c>
      <c r="G189" s="8"/>
      <c r="H189" s="8"/>
      <c r="I189" s="8"/>
      <c r="J189" s="8"/>
      <c r="K189" s="8"/>
      <c r="L189" s="8"/>
      <c r="M189" s="8"/>
      <c r="N189" s="8"/>
      <c r="O189" s="399">
        <f t="shared" ref="O189" si="96">SUM(C189:N189)</f>
        <v>0</v>
      </c>
      <c r="P189" s="213">
        <v>0</v>
      </c>
    </row>
    <row r="190" spans="1:16" s="6" customFormat="1" x14ac:dyDescent="0.25">
      <c r="A190" s="18" t="s">
        <v>71</v>
      </c>
      <c r="B190" s="306">
        <f t="shared" ref="B190:O190" si="97">+B191+B193+B196+B199+B201+B202+B213+B214</f>
        <v>51094378</v>
      </c>
      <c r="C190" s="10">
        <f t="shared" si="97"/>
        <v>9780250</v>
      </c>
      <c r="D190" s="10">
        <f t="shared" si="97"/>
        <v>3412250</v>
      </c>
      <c r="E190" s="10">
        <f t="shared" si="97"/>
        <v>4597250</v>
      </c>
      <c r="F190" s="10">
        <f t="shared" si="97"/>
        <v>3553250</v>
      </c>
      <c r="G190" s="10">
        <f t="shared" si="97"/>
        <v>4014250</v>
      </c>
      <c r="H190" s="10">
        <f t="shared" si="97"/>
        <v>4843250</v>
      </c>
      <c r="I190" s="10">
        <f t="shared" si="97"/>
        <v>3857250</v>
      </c>
      <c r="J190" s="10">
        <f t="shared" si="97"/>
        <v>5395250</v>
      </c>
      <c r="K190" s="10">
        <f t="shared" si="97"/>
        <v>7338250</v>
      </c>
      <c r="L190" s="10">
        <f t="shared" si="97"/>
        <v>5064250</v>
      </c>
      <c r="M190" s="10">
        <f t="shared" si="97"/>
        <v>2806250</v>
      </c>
      <c r="N190" s="10">
        <f t="shared" si="97"/>
        <v>5928250</v>
      </c>
      <c r="O190" s="396">
        <f t="shared" si="97"/>
        <v>60590000</v>
      </c>
      <c r="P190" s="213">
        <f t="shared" si="80"/>
        <v>0.1858447518433437</v>
      </c>
    </row>
    <row r="191" spans="1:16" x14ac:dyDescent="0.25">
      <c r="A191" s="18" t="s">
        <v>72</v>
      </c>
      <c r="B191" s="306">
        <f t="shared" ref="B191:O191" si="98">SUM(B192:B192)</f>
        <v>0</v>
      </c>
      <c r="C191" s="10">
        <f t="shared" si="98"/>
        <v>0</v>
      </c>
      <c r="D191" s="10">
        <f t="shared" si="98"/>
        <v>0</v>
      </c>
      <c r="E191" s="10">
        <f t="shared" si="98"/>
        <v>0</v>
      </c>
      <c r="F191" s="10">
        <f t="shared" si="98"/>
        <v>0</v>
      </c>
      <c r="G191" s="10">
        <f t="shared" si="98"/>
        <v>0</v>
      </c>
      <c r="H191" s="10">
        <f t="shared" si="98"/>
        <v>0</v>
      </c>
      <c r="I191" s="10">
        <f t="shared" si="98"/>
        <v>0</v>
      </c>
      <c r="J191" s="10">
        <f t="shared" si="98"/>
        <v>0</v>
      </c>
      <c r="K191" s="10">
        <f t="shared" si="98"/>
        <v>0</v>
      </c>
      <c r="L191" s="10">
        <f t="shared" si="98"/>
        <v>0</v>
      </c>
      <c r="M191" s="10">
        <f t="shared" si="98"/>
        <v>0</v>
      </c>
      <c r="N191" s="10">
        <f t="shared" si="98"/>
        <v>0</v>
      </c>
      <c r="O191" s="396">
        <f t="shared" si="98"/>
        <v>0</v>
      </c>
      <c r="P191" s="213">
        <v>0</v>
      </c>
    </row>
    <row r="192" spans="1:16" s="6" customFormat="1" x14ac:dyDescent="0.25">
      <c r="A192" s="13" t="s">
        <v>135</v>
      </c>
      <c r="B192" s="307">
        <v>0</v>
      </c>
      <c r="C192" s="8"/>
      <c r="D192" s="7"/>
      <c r="E192" s="8"/>
      <c r="F192" s="8">
        <f>ROUND(((+$B$192*$B$50)+$B$192)/2,-3)</f>
        <v>0</v>
      </c>
      <c r="G192" s="7"/>
      <c r="H192" s="7"/>
      <c r="I192" s="7"/>
      <c r="J192" s="7"/>
      <c r="K192" s="8">
        <f>ROUND(((+$B$192*$B$50)+$B$192)/2,-3)</f>
        <v>0</v>
      </c>
      <c r="L192" s="7"/>
      <c r="M192" s="7"/>
      <c r="N192" s="7"/>
      <c r="O192" s="399">
        <f t="shared" ref="O192:O227" si="99">SUM(C192:N192)</f>
        <v>0</v>
      </c>
      <c r="P192" s="213">
        <v>0</v>
      </c>
    </row>
    <row r="193" spans="1:16" x14ac:dyDescent="0.25">
      <c r="A193" s="18" t="s">
        <v>73</v>
      </c>
      <c r="B193" s="306">
        <f t="shared" ref="B193:O193" si="100">SUM(B194:B195)</f>
        <v>1198000</v>
      </c>
      <c r="C193" s="10">
        <f>SUM(C194:C195)</f>
        <v>104000</v>
      </c>
      <c r="D193" s="10">
        <f t="shared" si="100"/>
        <v>104000</v>
      </c>
      <c r="E193" s="10">
        <f t="shared" si="100"/>
        <v>104000</v>
      </c>
      <c r="F193" s="10">
        <f t="shared" si="100"/>
        <v>104000</v>
      </c>
      <c r="G193" s="10">
        <f t="shared" si="100"/>
        <v>104000</v>
      </c>
      <c r="H193" s="10">
        <f t="shared" si="100"/>
        <v>104000</v>
      </c>
      <c r="I193" s="10">
        <f t="shared" si="100"/>
        <v>104000</v>
      </c>
      <c r="J193" s="10">
        <f t="shared" si="100"/>
        <v>104000</v>
      </c>
      <c r="K193" s="10">
        <f t="shared" si="100"/>
        <v>104000</v>
      </c>
      <c r="L193" s="10">
        <f t="shared" si="100"/>
        <v>104000</v>
      </c>
      <c r="M193" s="10">
        <f t="shared" si="100"/>
        <v>104000</v>
      </c>
      <c r="N193" s="10">
        <f t="shared" si="100"/>
        <v>104000</v>
      </c>
      <c r="O193" s="396">
        <f t="shared" si="100"/>
        <v>1248000</v>
      </c>
      <c r="P193" s="213">
        <f t="shared" si="80"/>
        <v>4.1736227045075125E-2</v>
      </c>
    </row>
    <row r="194" spans="1:16" x14ac:dyDescent="0.25">
      <c r="A194" s="13" t="s">
        <v>74</v>
      </c>
      <c r="B194" s="307">
        <v>463000</v>
      </c>
      <c r="C194" s="8">
        <f t="shared" ref="C194:N194" si="101">ROUND(((+$B$194*$B$50)+$B$194)/12,-3)</f>
        <v>40000</v>
      </c>
      <c r="D194" s="8">
        <f t="shared" si="101"/>
        <v>40000</v>
      </c>
      <c r="E194" s="8">
        <f t="shared" si="101"/>
        <v>40000</v>
      </c>
      <c r="F194" s="8">
        <f t="shared" si="101"/>
        <v>40000</v>
      </c>
      <c r="G194" s="8">
        <f t="shared" si="101"/>
        <v>40000</v>
      </c>
      <c r="H194" s="8">
        <f t="shared" si="101"/>
        <v>40000</v>
      </c>
      <c r="I194" s="8">
        <f t="shared" si="101"/>
        <v>40000</v>
      </c>
      <c r="J194" s="8">
        <f t="shared" si="101"/>
        <v>40000</v>
      </c>
      <c r="K194" s="8">
        <f t="shared" si="101"/>
        <v>40000</v>
      </c>
      <c r="L194" s="8">
        <f t="shared" si="101"/>
        <v>40000</v>
      </c>
      <c r="M194" s="8">
        <f t="shared" si="101"/>
        <v>40000</v>
      </c>
      <c r="N194" s="8">
        <f t="shared" si="101"/>
        <v>40000</v>
      </c>
      <c r="O194" s="399">
        <f t="shared" si="99"/>
        <v>480000</v>
      </c>
      <c r="P194" s="213">
        <f t="shared" si="80"/>
        <v>3.6717062634989202E-2</v>
      </c>
    </row>
    <row r="195" spans="1:16" s="6" customFormat="1" x14ac:dyDescent="0.25">
      <c r="A195" s="13" t="s">
        <v>75</v>
      </c>
      <c r="B195" s="307">
        <v>735000</v>
      </c>
      <c r="C195" s="8">
        <v>64000</v>
      </c>
      <c r="D195" s="8">
        <v>64000</v>
      </c>
      <c r="E195" s="8">
        <v>64000</v>
      </c>
      <c r="F195" s="8">
        <v>64000</v>
      </c>
      <c r="G195" s="8">
        <v>64000</v>
      </c>
      <c r="H195" s="8">
        <v>64000</v>
      </c>
      <c r="I195" s="8">
        <v>64000</v>
      </c>
      <c r="J195" s="8">
        <v>64000</v>
      </c>
      <c r="K195" s="8">
        <v>64000</v>
      </c>
      <c r="L195" s="8">
        <v>64000</v>
      </c>
      <c r="M195" s="8">
        <v>64000</v>
      </c>
      <c r="N195" s="8">
        <v>64000</v>
      </c>
      <c r="O195" s="399">
        <f t="shared" si="99"/>
        <v>768000</v>
      </c>
      <c r="P195" s="213">
        <f t="shared" si="80"/>
        <v>4.4897959183673466E-2</v>
      </c>
    </row>
    <row r="196" spans="1:16" x14ac:dyDescent="0.25">
      <c r="A196" s="18" t="s">
        <v>76</v>
      </c>
      <c r="B196" s="306">
        <f t="shared" ref="B196:O196" si="102">SUM(B197:B198)</f>
        <v>750000</v>
      </c>
      <c r="C196" s="10">
        <f t="shared" si="102"/>
        <v>65250</v>
      </c>
      <c r="D196" s="10">
        <f t="shared" si="102"/>
        <v>65250</v>
      </c>
      <c r="E196" s="10">
        <f t="shared" si="102"/>
        <v>65250</v>
      </c>
      <c r="F196" s="10">
        <f t="shared" si="102"/>
        <v>65250</v>
      </c>
      <c r="G196" s="10">
        <f t="shared" si="102"/>
        <v>65250</v>
      </c>
      <c r="H196" s="10">
        <f t="shared" si="102"/>
        <v>65250</v>
      </c>
      <c r="I196" s="10">
        <f t="shared" si="102"/>
        <v>65250</v>
      </c>
      <c r="J196" s="10">
        <f t="shared" si="102"/>
        <v>65250</v>
      </c>
      <c r="K196" s="10">
        <f t="shared" si="102"/>
        <v>65250</v>
      </c>
      <c r="L196" s="10">
        <f t="shared" si="102"/>
        <v>65250</v>
      </c>
      <c r="M196" s="10">
        <f t="shared" si="102"/>
        <v>65250</v>
      </c>
      <c r="N196" s="10">
        <f t="shared" si="102"/>
        <v>65250</v>
      </c>
      <c r="O196" s="396">
        <f t="shared" si="102"/>
        <v>783000</v>
      </c>
      <c r="P196" s="213">
        <f t="shared" si="80"/>
        <v>4.3999999999999997E-2</v>
      </c>
    </row>
    <row r="197" spans="1:16" x14ac:dyDescent="0.25">
      <c r="A197" s="13" t="s">
        <v>77</v>
      </c>
      <c r="B197" s="307">
        <v>750000</v>
      </c>
      <c r="C197" s="8">
        <v>65250</v>
      </c>
      <c r="D197" s="8">
        <v>65250</v>
      </c>
      <c r="E197" s="8">
        <v>65250</v>
      </c>
      <c r="F197" s="8">
        <v>65250</v>
      </c>
      <c r="G197" s="8">
        <v>65250</v>
      </c>
      <c r="H197" s="8">
        <v>65250</v>
      </c>
      <c r="I197" s="8">
        <v>65250</v>
      </c>
      <c r="J197" s="8">
        <v>65250</v>
      </c>
      <c r="K197" s="8">
        <v>65250</v>
      </c>
      <c r="L197" s="8">
        <v>65250</v>
      </c>
      <c r="M197" s="8">
        <v>65250</v>
      </c>
      <c r="N197" s="8">
        <v>65250</v>
      </c>
      <c r="O197" s="399">
        <f t="shared" si="99"/>
        <v>783000</v>
      </c>
      <c r="P197" s="213">
        <f t="shared" si="80"/>
        <v>4.3999999999999997E-2</v>
      </c>
    </row>
    <row r="198" spans="1:16" s="6" customFormat="1" x14ac:dyDescent="0.25">
      <c r="A198" s="13" t="s">
        <v>78</v>
      </c>
      <c r="B198" s="307">
        <v>0</v>
      </c>
      <c r="C198" s="8">
        <f t="shared" ref="C198:J198" si="103">ROUND(((+$B$198*$B$50)+$B$198)/12,-3)</f>
        <v>0</v>
      </c>
      <c r="D198" s="8">
        <f t="shared" si="103"/>
        <v>0</v>
      </c>
      <c r="E198" s="8">
        <f t="shared" si="103"/>
        <v>0</v>
      </c>
      <c r="F198" s="8">
        <f t="shared" si="103"/>
        <v>0</v>
      </c>
      <c r="G198" s="8">
        <f t="shared" si="103"/>
        <v>0</v>
      </c>
      <c r="H198" s="8">
        <f t="shared" si="103"/>
        <v>0</v>
      </c>
      <c r="I198" s="8">
        <f t="shared" si="103"/>
        <v>0</v>
      </c>
      <c r="J198" s="8">
        <f t="shared" si="103"/>
        <v>0</v>
      </c>
      <c r="K198" s="8">
        <v>0</v>
      </c>
      <c r="L198" s="8">
        <f>ROUND(((+$B$198*$B$50)+$B$198)/12,-3)</f>
        <v>0</v>
      </c>
      <c r="M198" s="8">
        <f>ROUND(((+$B$198*$B$50)+$B$198)/12,-3)</f>
        <v>0</v>
      </c>
      <c r="N198" s="8">
        <f>ROUND(((+$B$198*$B$50)+$B$198)/12,-3)</f>
        <v>0</v>
      </c>
      <c r="O198" s="399">
        <f t="shared" si="99"/>
        <v>0</v>
      </c>
      <c r="P198" s="213">
        <v>0</v>
      </c>
    </row>
    <row r="199" spans="1:16" x14ac:dyDescent="0.25">
      <c r="A199" s="18" t="s">
        <v>79</v>
      </c>
      <c r="B199" s="306">
        <f t="shared" ref="B199:O199" si="104">SUM(B200:B200)</f>
        <v>100000</v>
      </c>
      <c r="C199" s="10">
        <f t="shared" si="104"/>
        <v>0</v>
      </c>
      <c r="D199" s="10">
        <f t="shared" si="104"/>
        <v>52000</v>
      </c>
      <c r="E199" s="10">
        <f t="shared" si="104"/>
        <v>0</v>
      </c>
      <c r="F199" s="10">
        <f t="shared" si="104"/>
        <v>52000</v>
      </c>
      <c r="G199" s="10">
        <f t="shared" si="104"/>
        <v>0</v>
      </c>
      <c r="H199" s="10">
        <f t="shared" si="104"/>
        <v>0</v>
      </c>
      <c r="I199" s="10">
        <f t="shared" si="104"/>
        <v>0</v>
      </c>
      <c r="J199" s="10">
        <f t="shared" si="104"/>
        <v>0</v>
      </c>
      <c r="K199" s="10">
        <f t="shared" si="104"/>
        <v>0</v>
      </c>
      <c r="L199" s="10">
        <f t="shared" si="104"/>
        <v>0</v>
      </c>
      <c r="M199" s="10">
        <f t="shared" si="104"/>
        <v>0</v>
      </c>
      <c r="N199" s="10">
        <f t="shared" si="104"/>
        <v>0</v>
      </c>
      <c r="O199" s="396">
        <f t="shared" si="104"/>
        <v>104000</v>
      </c>
      <c r="P199" s="213">
        <f t="shared" si="80"/>
        <v>0.04</v>
      </c>
    </row>
    <row r="200" spans="1:16" s="6" customFormat="1" x14ac:dyDescent="0.25">
      <c r="A200" s="13" t="s">
        <v>400</v>
      </c>
      <c r="B200" s="307">
        <v>100000</v>
      </c>
      <c r="C200" s="32">
        <v>0</v>
      </c>
      <c r="D200" s="8">
        <f>ROUND(((+$B$200*$B$50)+$B$200)/2,-3)</f>
        <v>52000</v>
      </c>
      <c r="E200" s="32">
        <v>0</v>
      </c>
      <c r="F200" s="8">
        <f>ROUND(((+$B$200*$B$50)+$B$200)/2,-3)</f>
        <v>52000</v>
      </c>
      <c r="G200" s="32">
        <v>0</v>
      </c>
      <c r="H200" s="32">
        <v>0</v>
      </c>
      <c r="I200" s="32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399">
        <f t="shared" si="99"/>
        <v>104000</v>
      </c>
      <c r="P200" s="213">
        <f t="shared" si="80"/>
        <v>0.04</v>
      </c>
    </row>
    <row r="201" spans="1:16" s="6" customFormat="1" x14ac:dyDescent="0.25">
      <c r="A201" s="18" t="s">
        <v>80</v>
      </c>
      <c r="B201" s="307">
        <v>308200</v>
      </c>
      <c r="C201" s="10">
        <f t="shared" ref="C201:N201" si="105">ROUND(((+$B$201*$B$50)+$B$201)/12,-3)</f>
        <v>27000</v>
      </c>
      <c r="D201" s="10">
        <f t="shared" si="105"/>
        <v>27000</v>
      </c>
      <c r="E201" s="10">
        <f t="shared" si="105"/>
        <v>27000</v>
      </c>
      <c r="F201" s="10">
        <f t="shared" si="105"/>
        <v>27000</v>
      </c>
      <c r="G201" s="10">
        <f t="shared" si="105"/>
        <v>27000</v>
      </c>
      <c r="H201" s="10">
        <f t="shared" si="105"/>
        <v>27000</v>
      </c>
      <c r="I201" s="10">
        <f t="shared" si="105"/>
        <v>27000</v>
      </c>
      <c r="J201" s="10">
        <f t="shared" si="105"/>
        <v>27000</v>
      </c>
      <c r="K201" s="10">
        <f t="shared" si="105"/>
        <v>27000</v>
      </c>
      <c r="L201" s="10">
        <f t="shared" si="105"/>
        <v>27000</v>
      </c>
      <c r="M201" s="10">
        <f t="shared" si="105"/>
        <v>27000</v>
      </c>
      <c r="N201" s="10">
        <f t="shared" si="105"/>
        <v>27000</v>
      </c>
      <c r="O201" s="396">
        <f t="shared" si="99"/>
        <v>324000</v>
      </c>
      <c r="P201" s="213">
        <f t="shared" si="80"/>
        <v>5.1265412070084358E-2</v>
      </c>
    </row>
    <row r="202" spans="1:16" s="6" customFormat="1" x14ac:dyDescent="0.25">
      <c r="A202" s="18" t="s">
        <v>81</v>
      </c>
      <c r="B202" s="306">
        <f t="shared" ref="B202:O202" si="106">SUM(B203:B212)</f>
        <v>20015778</v>
      </c>
      <c r="C202" s="10">
        <f t="shared" si="106"/>
        <v>928000</v>
      </c>
      <c r="D202" s="10">
        <f t="shared" si="106"/>
        <v>1805000</v>
      </c>
      <c r="E202" s="10">
        <f t="shared" si="106"/>
        <v>1768000</v>
      </c>
      <c r="F202" s="10">
        <f t="shared" si="106"/>
        <v>1795000</v>
      </c>
      <c r="G202" s="10">
        <f t="shared" si="106"/>
        <v>2162000</v>
      </c>
      <c r="H202" s="10">
        <f t="shared" si="106"/>
        <v>1375000</v>
      </c>
      <c r="I202" s="10">
        <f t="shared" si="106"/>
        <v>1623000</v>
      </c>
      <c r="J202" s="10">
        <f t="shared" si="106"/>
        <v>2958000</v>
      </c>
      <c r="K202" s="10">
        <f t="shared" si="106"/>
        <v>4862000</v>
      </c>
      <c r="L202" s="10">
        <f t="shared" si="106"/>
        <v>1385000</v>
      </c>
      <c r="M202" s="10">
        <f t="shared" si="106"/>
        <v>1254000</v>
      </c>
      <c r="N202" s="10">
        <f t="shared" si="106"/>
        <v>2123000</v>
      </c>
      <c r="O202" s="396">
        <f t="shared" si="106"/>
        <v>24038000</v>
      </c>
      <c r="P202" s="213">
        <f t="shared" si="80"/>
        <v>0.20095256851869561</v>
      </c>
    </row>
    <row r="203" spans="1:16" s="6" customFormat="1" x14ac:dyDescent="0.25">
      <c r="A203" s="13" t="s">
        <v>241</v>
      </c>
      <c r="B203" s="307">
        <v>1856228</v>
      </c>
      <c r="C203" s="8"/>
      <c r="D203" s="8">
        <v>640000</v>
      </c>
      <c r="E203" s="8">
        <v>320000</v>
      </c>
      <c r="F203" s="8">
        <f>360000</f>
        <v>360000</v>
      </c>
      <c r="G203" s="8">
        <f>360000+240000</f>
        <v>600000</v>
      </c>
      <c r="H203" s="8">
        <f>320000+240000</f>
        <v>560000</v>
      </c>
      <c r="I203" s="8">
        <v>320000</v>
      </c>
      <c r="J203" s="8">
        <v>320000</v>
      </c>
      <c r="K203" s="8">
        <v>320000</v>
      </c>
      <c r="L203" s="8">
        <v>320000</v>
      </c>
      <c r="M203" s="8">
        <v>320000</v>
      </c>
      <c r="N203" s="8">
        <v>0</v>
      </c>
      <c r="O203" s="399">
        <f t="shared" si="99"/>
        <v>4080000</v>
      </c>
      <c r="P203" s="213">
        <f t="shared" si="80"/>
        <v>1.1980058484194829</v>
      </c>
    </row>
    <row r="204" spans="1:16" s="6" customFormat="1" x14ac:dyDescent="0.25">
      <c r="A204" s="13" t="s">
        <v>548</v>
      </c>
      <c r="B204" s="307">
        <v>80000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399">
        <f t="shared" si="99"/>
        <v>0</v>
      </c>
      <c r="P204" s="213">
        <f t="shared" ref="P204" si="107">+(O204-B204)/B204</f>
        <v>-1</v>
      </c>
    </row>
    <row r="205" spans="1:16" s="6" customFormat="1" x14ac:dyDescent="0.25">
      <c r="A205" s="13" t="s">
        <v>547</v>
      </c>
      <c r="B205" s="307">
        <v>95000</v>
      </c>
      <c r="C205" s="8">
        <v>0</v>
      </c>
      <c r="D205" s="32"/>
      <c r="E205" s="32"/>
      <c r="F205" s="8">
        <v>0</v>
      </c>
      <c r="G205" s="32"/>
      <c r="H205" s="32"/>
      <c r="I205" s="8">
        <v>0</v>
      </c>
      <c r="J205" s="32"/>
      <c r="K205" s="32"/>
      <c r="L205" s="8">
        <v>0</v>
      </c>
      <c r="M205" s="32"/>
      <c r="N205" s="32"/>
      <c r="O205" s="399">
        <f t="shared" si="99"/>
        <v>0</v>
      </c>
      <c r="P205" s="213">
        <f t="shared" si="80"/>
        <v>-1</v>
      </c>
    </row>
    <row r="206" spans="1:16" s="6" customFormat="1" x14ac:dyDescent="0.25">
      <c r="A206" s="13" t="s">
        <v>249</v>
      </c>
      <c r="B206" s="307">
        <f>10000000+1500000</f>
        <v>11500000</v>
      </c>
      <c r="C206" s="8">
        <v>745000</v>
      </c>
      <c r="D206" s="8">
        <v>847000</v>
      </c>
      <c r="E206" s="8">
        <v>1140000</v>
      </c>
      <c r="F206" s="8">
        <v>1182000</v>
      </c>
      <c r="G206" s="8">
        <v>1239000</v>
      </c>
      <c r="H206" s="8">
        <v>468999.99999999994</v>
      </c>
      <c r="I206" s="8">
        <v>1120000</v>
      </c>
      <c r="J206" s="8">
        <v>1260000</v>
      </c>
      <c r="K206" s="8">
        <v>2500000</v>
      </c>
      <c r="L206" s="8">
        <v>637000</v>
      </c>
      <c r="M206" s="8">
        <v>616000</v>
      </c>
      <c r="N206" s="8">
        <v>1940000</v>
      </c>
      <c r="O206" s="399">
        <f t="shared" si="99"/>
        <v>13695000</v>
      </c>
      <c r="P206" s="213">
        <f t="shared" si="80"/>
        <v>0.19086956521739132</v>
      </c>
    </row>
    <row r="207" spans="1:16" s="6" customFormat="1" ht="14.5" x14ac:dyDescent="0.35">
      <c r="A207" s="13" t="s">
        <v>280</v>
      </c>
      <c r="B207" s="307">
        <v>978000</v>
      </c>
      <c r="C207" s="70"/>
      <c r="D207" s="70"/>
      <c r="E207" s="70"/>
      <c r="F207" s="70"/>
      <c r="G207" s="70"/>
      <c r="H207" s="70"/>
      <c r="I207" s="70"/>
      <c r="J207" s="70"/>
      <c r="K207" s="8">
        <f>ROUND(((+$B$207*$B$50)+$B$207)/1,-3)</f>
        <v>1019000</v>
      </c>
      <c r="L207" s="70"/>
      <c r="M207" s="70"/>
      <c r="N207" s="70"/>
      <c r="O207" s="399">
        <f t="shared" si="99"/>
        <v>1019000</v>
      </c>
      <c r="P207" s="213">
        <f t="shared" si="80"/>
        <v>4.1922290388548056E-2</v>
      </c>
    </row>
    <row r="208" spans="1:16" s="6" customFormat="1" x14ac:dyDescent="0.25">
      <c r="A208" s="13" t="s">
        <v>806</v>
      </c>
      <c r="B208" s="307">
        <f>3331550-95000-1420000</f>
        <v>1816550</v>
      </c>
      <c r="C208" s="8">
        <f t="shared" ref="C208:N208" si="108">ROUND(((+$B$208*$B$50)+$B$208)/12,-3)</f>
        <v>158000</v>
      </c>
      <c r="D208" s="8">
        <f t="shared" si="108"/>
        <v>158000</v>
      </c>
      <c r="E208" s="8">
        <f t="shared" si="108"/>
        <v>158000</v>
      </c>
      <c r="F208" s="8">
        <f t="shared" si="108"/>
        <v>158000</v>
      </c>
      <c r="G208" s="8">
        <f t="shared" si="108"/>
        <v>158000</v>
      </c>
      <c r="H208" s="8">
        <f t="shared" si="108"/>
        <v>158000</v>
      </c>
      <c r="I208" s="8">
        <f t="shared" si="108"/>
        <v>158000</v>
      </c>
      <c r="J208" s="8">
        <f t="shared" si="108"/>
        <v>158000</v>
      </c>
      <c r="K208" s="8">
        <f t="shared" si="108"/>
        <v>158000</v>
      </c>
      <c r="L208" s="8">
        <f t="shared" si="108"/>
        <v>158000</v>
      </c>
      <c r="M208" s="8">
        <f t="shared" si="108"/>
        <v>158000</v>
      </c>
      <c r="N208" s="8">
        <f t="shared" si="108"/>
        <v>158000</v>
      </c>
      <c r="O208" s="399">
        <f t="shared" si="99"/>
        <v>1896000</v>
      </c>
      <c r="P208" s="213">
        <f t="shared" si="80"/>
        <v>4.3736753736478493E-2</v>
      </c>
    </row>
    <row r="209" spans="1:16" s="6" customFormat="1" x14ac:dyDescent="0.25">
      <c r="A209" s="13" t="s">
        <v>804</v>
      </c>
      <c r="B209" s="307">
        <f>485000-126000-70000</f>
        <v>289000</v>
      </c>
      <c r="C209" s="8">
        <f>ROUND(((+$B$209*$B$50)+$B$209)/12,-3)</f>
        <v>25000</v>
      </c>
      <c r="D209" s="8">
        <f t="shared" ref="D209:N209" si="109">ROUND(((+$B$209*$B$50)+$B$209)/12,-3)</f>
        <v>25000</v>
      </c>
      <c r="E209" s="8">
        <f t="shared" si="109"/>
        <v>25000</v>
      </c>
      <c r="F209" s="8">
        <f t="shared" si="109"/>
        <v>25000</v>
      </c>
      <c r="G209" s="8">
        <f t="shared" si="109"/>
        <v>25000</v>
      </c>
      <c r="H209" s="8">
        <f t="shared" si="109"/>
        <v>25000</v>
      </c>
      <c r="I209" s="8">
        <f t="shared" si="109"/>
        <v>25000</v>
      </c>
      <c r="J209" s="8">
        <f t="shared" si="109"/>
        <v>25000</v>
      </c>
      <c r="K209" s="8">
        <f t="shared" si="109"/>
        <v>25000</v>
      </c>
      <c r="L209" s="8">
        <f t="shared" si="109"/>
        <v>25000</v>
      </c>
      <c r="M209" s="8">
        <f t="shared" si="109"/>
        <v>25000</v>
      </c>
      <c r="N209" s="8">
        <f t="shared" si="109"/>
        <v>25000</v>
      </c>
      <c r="O209" s="399">
        <f t="shared" si="99"/>
        <v>300000</v>
      </c>
      <c r="P209" s="213">
        <f t="shared" si="80"/>
        <v>3.8062283737024222E-2</v>
      </c>
    </row>
    <row r="210" spans="1:16" s="6" customFormat="1" x14ac:dyDescent="0.25">
      <c r="A210" s="244" t="s">
        <v>488</v>
      </c>
      <c r="B210" s="307">
        <v>892000</v>
      </c>
      <c r="C210" s="8"/>
      <c r="D210" s="8"/>
      <c r="E210" s="8"/>
      <c r="F210" s="8"/>
      <c r="G210" s="8"/>
      <c r="H210" s="8"/>
      <c r="I210" s="8"/>
      <c r="J210" s="8">
        <f>ROUND(((+$B$210*$B$50)+$B$210)/1,-3)</f>
        <v>929000</v>
      </c>
      <c r="K210" s="8">
        <v>0</v>
      </c>
      <c r="L210" s="8">
        <v>0</v>
      </c>
      <c r="M210" s="8"/>
      <c r="N210" s="8">
        <v>0</v>
      </c>
      <c r="O210" s="399">
        <f t="shared" ref="O210" si="110">SUM(C210:N210)</f>
        <v>929000</v>
      </c>
      <c r="P210" s="213">
        <f t="shared" si="80"/>
        <v>4.1479820627802692E-2</v>
      </c>
    </row>
    <row r="211" spans="1:16" s="6" customFormat="1" x14ac:dyDescent="0.25">
      <c r="A211" s="13" t="s">
        <v>805</v>
      </c>
      <c r="B211" s="307">
        <f>635000+26000+120000+838000+500000</f>
        <v>2119000</v>
      </c>
      <c r="C211" s="8">
        <v>0</v>
      </c>
      <c r="D211" s="8">
        <v>0</v>
      </c>
      <c r="E211" s="8">
        <v>125000</v>
      </c>
      <c r="F211" s="8">
        <v>70000</v>
      </c>
      <c r="G211" s="8">
        <v>140000</v>
      </c>
      <c r="H211" s="8">
        <v>28000</v>
      </c>
      <c r="I211" s="8">
        <v>0</v>
      </c>
      <c r="J211" s="8">
        <v>266000</v>
      </c>
      <c r="K211" s="8">
        <v>840000</v>
      </c>
      <c r="L211" s="8">
        <v>245000</v>
      </c>
      <c r="M211" s="8">
        <v>0</v>
      </c>
      <c r="N211" s="8">
        <v>0</v>
      </c>
      <c r="O211" s="399">
        <f t="shared" si="99"/>
        <v>1714000</v>
      </c>
      <c r="P211" s="213">
        <f t="shared" si="80"/>
        <v>-0.19112789051439358</v>
      </c>
    </row>
    <row r="212" spans="1:16" s="6" customFormat="1" x14ac:dyDescent="0.25">
      <c r="A212" s="13" t="s">
        <v>404</v>
      </c>
      <c r="B212" s="307">
        <v>390000</v>
      </c>
      <c r="C212" s="8">
        <v>0</v>
      </c>
      <c r="D212" s="8">
        <f>ROUND(((+$B$212*$B$50)+$B$212)/3,-3)</f>
        <v>135000</v>
      </c>
      <c r="E212" s="8">
        <v>0</v>
      </c>
      <c r="F212" s="8">
        <v>0</v>
      </c>
      <c r="G212" s="8">
        <v>0</v>
      </c>
      <c r="H212" s="8">
        <f>ROUND(((+$B$212*$B$50)+$B$212)/3,-3)</f>
        <v>135000</v>
      </c>
      <c r="I212" s="8">
        <v>0</v>
      </c>
      <c r="J212" s="8">
        <v>0</v>
      </c>
      <c r="K212" s="8">
        <v>0</v>
      </c>
      <c r="L212" s="8">
        <v>0</v>
      </c>
      <c r="M212" s="8">
        <f>ROUND(((+$B$212*$B$50)+$B$212)/3,-3)</f>
        <v>135000</v>
      </c>
      <c r="N212" s="8">
        <v>0</v>
      </c>
      <c r="O212" s="399">
        <f t="shared" si="99"/>
        <v>405000</v>
      </c>
      <c r="P212" s="213">
        <f t="shared" si="80"/>
        <v>3.8461538461538464E-2</v>
      </c>
    </row>
    <row r="213" spans="1:16" s="6" customFormat="1" x14ac:dyDescent="0.25">
      <c r="A213" s="18" t="s">
        <v>82</v>
      </c>
      <c r="B213" s="306">
        <v>20000</v>
      </c>
      <c r="C213" s="10"/>
      <c r="D213" s="10">
        <f>ROUND(((+$B$213*$B$50)+$B$213)/6,-3)</f>
        <v>3000</v>
      </c>
      <c r="E213" s="12"/>
      <c r="F213" s="10">
        <f>ROUND(((+$B$213*$B$50)+$B$213)/6,-3)</f>
        <v>3000</v>
      </c>
      <c r="G213" s="12"/>
      <c r="H213" s="10">
        <f>ROUND(((+$B$213*$B$50)+$B$213)/6,-3)</f>
        <v>3000</v>
      </c>
      <c r="I213" s="12"/>
      <c r="J213" s="10">
        <f>ROUND(((+$B$213*$B$50)+$B$213)/6,-3)</f>
        <v>3000</v>
      </c>
      <c r="K213" s="12"/>
      <c r="L213" s="10">
        <f>ROUND(((+$B$213*$B$50)+$B$213)/6,-3)</f>
        <v>3000</v>
      </c>
      <c r="M213" s="12"/>
      <c r="N213" s="10">
        <f>ROUND(((+$B$213*$B$50)+$B$213)/6,-3)</f>
        <v>3000</v>
      </c>
      <c r="O213" s="396">
        <f t="shared" si="99"/>
        <v>18000</v>
      </c>
      <c r="P213" s="213">
        <v>0</v>
      </c>
    </row>
    <row r="214" spans="1:16" x14ac:dyDescent="0.25">
      <c r="A214" s="18" t="s">
        <v>3</v>
      </c>
      <c r="B214" s="306">
        <f t="shared" ref="B214:O214" si="111">SUM(B215:B227)</f>
        <v>28702400</v>
      </c>
      <c r="C214" s="10">
        <f t="shared" si="111"/>
        <v>8656000</v>
      </c>
      <c r="D214" s="10">
        <f t="shared" si="111"/>
        <v>1356000</v>
      </c>
      <c r="E214" s="10">
        <f t="shared" si="111"/>
        <v>2633000</v>
      </c>
      <c r="F214" s="10">
        <f t="shared" si="111"/>
        <v>1507000</v>
      </c>
      <c r="G214" s="10">
        <f t="shared" si="111"/>
        <v>1656000</v>
      </c>
      <c r="H214" s="10">
        <f t="shared" si="111"/>
        <v>3269000</v>
      </c>
      <c r="I214" s="10">
        <f t="shared" si="111"/>
        <v>2038000</v>
      </c>
      <c r="J214" s="10">
        <f t="shared" si="111"/>
        <v>2238000</v>
      </c>
      <c r="K214" s="10">
        <f t="shared" si="111"/>
        <v>2280000</v>
      </c>
      <c r="L214" s="10">
        <f t="shared" si="111"/>
        <v>3480000</v>
      </c>
      <c r="M214" s="10">
        <f t="shared" si="111"/>
        <v>1356000</v>
      </c>
      <c r="N214" s="10">
        <f t="shared" si="111"/>
        <v>3606000</v>
      </c>
      <c r="O214" s="396">
        <f t="shared" si="111"/>
        <v>34075000</v>
      </c>
      <c r="P214" s="213">
        <f t="shared" si="80"/>
        <v>0.18718295334188081</v>
      </c>
    </row>
    <row r="215" spans="1:16" s="35" customFormat="1" x14ac:dyDescent="0.25">
      <c r="A215" s="291" t="s">
        <v>285</v>
      </c>
      <c r="B215" s="331">
        <v>4092000</v>
      </c>
      <c r="C215" s="8">
        <f>ROUND(((+$B$215*$B$50)+$B$215)/12,-3)</f>
        <v>355000</v>
      </c>
      <c r="D215" s="8">
        <f t="shared" ref="D215:N215" si="112">ROUND(((+$B$215*$B$50)+$B$215)/12,-3)</f>
        <v>355000</v>
      </c>
      <c r="E215" s="8">
        <f t="shared" si="112"/>
        <v>355000</v>
      </c>
      <c r="F215" s="8">
        <f t="shared" si="112"/>
        <v>355000</v>
      </c>
      <c r="G215" s="8">
        <f t="shared" si="112"/>
        <v>355000</v>
      </c>
      <c r="H215" s="8">
        <f t="shared" si="112"/>
        <v>355000</v>
      </c>
      <c r="I215" s="8">
        <f t="shared" si="112"/>
        <v>355000</v>
      </c>
      <c r="J215" s="8">
        <f t="shared" si="112"/>
        <v>355000</v>
      </c>
      <c r="K215" s="8">
        <f t="shared" si="112"/>
        <v>355000</v>
      </c>
      <c r="L215" s="8">
        <f t="shared" si="112"/>
        <v>355000</v>
      </c>
      <c r="M215" s="8">
        <f t="shared" si="112"/>
        <v>355000</v>
      </c>
      <c r="N215" s="8">
        <f t="shared" si="112"/>
        <v>355000</v>
      </c>
      <c r="O215" s="401">
        <f t="shared" si="99"/>
        <v>4260000</v>
      </c>
      <c r="P215" s="213">
        <f t="shared" si="80"/>
        <v>4.1055718475073312E-2</v>
      </c>
    </row>
    <row r="216" spans="1:16" s="35" customFormat="1" x14ac:dyDescent="0.25">
      <c r="A216" s="290" t="s">
        <v>401</v>
      </c>
      <c r="B216" s="331">
        <v>943000</v>
      </c>
      <c r="C216" s="8">
        <f t="shared" ref="C216:N216" si="113">ROUND(((+$B$216*$B$50)+$B$216)/12,-3)</f>
        <v>82000</v>
      </c>
      <c r="D216" s="8">
        <f t="shared" si="113"/>
        <v>82000</v>
      </c>
      <c r="E216" s="8">
        <f t="shared" si="113"/>
        <v>82000</v>
      </c>
      <c r="F216" s="8">
        <f t="shared" si="113"/>
        <v>82000</v>
      </c>
      <c r="G216" s="8">
        <f t="shared" si="113"/>
        <v>82000</v>
      </c>
      <c r="H216" s="8">
        <f t="shared" si="113"/>
        <v>82000</v>
      </c>
      <c r="I216" s="8">
        <f t="shared" si="113"/>
        <v>82000</v>
      </c>
      <c r="J216" s="8">
        <f t="shared" si="113"/>
        <v>82000</v>
      </c>
      <c r="K216" s="8">
        <f t="shared" si="113"/>
        <v>82000</v>
      </c>
      <c r="L216" s="8">
        <f t="shared" si="113"/>
        <v>82000</v>
      </c>
      <c r="M216" s="8">
        <f t="shared" si="113"/>
        <v>82000</v>
      </c>
      <c r="N216" s="8">
        <f t="shared" si="113"/>
        <v>82000</v>
      </c>
      <c r="O216" s="401">
        <f t="shared" si="99"/>
        <v>984000</v>
      </c>
      <c r="P216" s="213">
        <f t="shared" si="80"/>
        <v>4.3478260869565216E-2</v>
      </c>
    </row>
    <row r="217" spans="1:16" s="35" customFormat="1" x14ac:dyDescent="0.25">
      <c r="A217" s="158" t="s">
        <v>891</v>
      </c>
      <c r="B217" s="331">
        <f>1891000+1000000+600000+1239000-838000+1000000</f>
        <v>4892000</v>
      </c>
      <c r="C217" s="8">
        <v>36000</v>
      </c>
      <c r="D217" s="8">
        <v>36000</v>
      </c>
      <c r="E217" s="8">
        <f>505000+108000</f>
        <v>613000</v>
      </c>
      <c r="F217" s="8">
        <v>18000</v>
      </c>
      <c r="G217" s="8">
        <f>300000+36000</f>
        <v>336000</v>
      </c>
      <c r="H217" s="8">
        <f>120000+54000+875000</f>
        <v>1049000</v>
      </c>
      <c r="I217" s="8">
        <f>18000+1000000</f>
        <v>1018000</v>
      </c>
      <c r="J217" s="8">
        <f>200000+18000</f>
        <v>218000</v>
      </c>
      <c r="K217" s="8">
        <f>144000+460000</f>
        <v>604000</v>
      </c>
      <c r="L217" s="8">
        <f>370000+90000</f>
        <v>460000</v>
      </c>
      <c r="M217" s="8">
        <v>36000</v>
      </c>
      <c r="N217" s="8">
        <f>1050000+36000</f>
        <v>1086000</v>
      </c>
      <c r="O217" s="401">
        <f t="shared" si="99"/>
        <v>5510000</v>
      </c>
      <c r="P217" s="213">
        <f t="shared" si="80"/>
        <v>0.12632869991823384</v>
      </c>
    </row>
    <row r="218" spans="1:16" s="35" customFormat="1" x14ac:dyDescent="0.25">
      <c r="A218" s="158" t="s">
        <v>811</v>
      </c>
      <c r="B218" s="331">
        <v>2852000</v>
      </c>
      <c r="C218" s="8">
        <v>300000</v>
      </c>
      <c r="D218" s="8">
        <v>300000</v>
      </c>
      <c r="E218" s="8">
        <v>300000</v>
      </c>
      <c r="F218" s="8">
        <v>300000</v>
      </c>
      <c r="G218" s="8">
        <v>300000</v>
      </c>
      <c r="H218" s="8">
        <v>300000</v>
      </c>
      <c r="I218" s="8">
        <v>300000</v>
      </c>
      <c r="J218" s="8">
        <v>300000</v>
      </c>
      <c r="K218" s="8">
        <v>300000</v>
      </c>
      <c r="L218" s="8">
        <v>300000</v>
      </c>
      <c r="M218" s="8">
        <v>300000</v>
      </c>
      <c r="N218" s="8">
        <v>300000</v>
      </c>
      <c r="O218" s="401">
        <f t="shared" si="99"/>
        <v>3600000</v>
      </c>
      <c r="P218" s="213">
        <f t="shared" si="80"/>
        <v>0.26227208976157085</v>
      </c>
    </row>
    <row r="219" spans="1:16" s="35" customFormat="1" x14ac:dyDescent="0.25">
      <c r="A219" s="158" t="s">
        <v>890</v>
      </c>
      <c r="B219" s="331">
        <v>400000</v>
      </c>
      <c r="C219" s="8">
        <f>ROUND(((+$B$219*$B$50)+$B$219)/12,-3)</f>
        <v>35000</v>
      </c>
      <c r="D219" s="8">
        <f t="shared" ref="D219:N219" si="114">ROUND(((+$B$219*$B$50)+$B$219)/12,-3)</f>
        <v>35000</v>
      </c>
      <c r="E219" s="8">
        <f t="shared" si="114"/>
        <v>35000</v>
      </c>
      <c r="F219" s="8">
        <f t="shared" si="114"/>
        <v>35000</v>
      </c>
      <c r="G219" s="8">
        <f t="shared" si="114"/>
        <v>35000</v>
      </c>
      <c r="H219" s="8">
        <f t="shared" si="114"/>
        <v>35000</v>
      </c>
      <c r="I219" s="8">
        <f t="shared" si="114"/>
        <v>35000</v>
      </c>
      <c r="J219" s="8">
        <f t="shared" si="114"/>
        <v>35000</v>
      </c>
      <c r="K219" s="8">
        <f t="shared" si="114"/>
        <v>35000</v>
      </c>
      <c r="L219" s="8">
        <f t="shared" si="114"/>
        <v>35000</v>
      </c>
      <c r="M219" s="8">
        <f t="shared" si="114"/>
        <v>35000</v>
      </c>
      <c r="N219" s="8">
        <f t="shared" si="114"/>
        <v>35000</v>
      </c>
      <c r="O219" s="401">
        <f t="shared" ref="O219" si="115">SUM(C219:N219)</f>
        <v>420000</v>
      </c>
      <c r="P219" s="213">
        <f t="shared" ref="P219" si="116">+(O219-B219)/B219</f>
        <v>0.05</v>
      </c>
    </row>
    <row r="220" spans="1:16" s="35" customFormat="1" x14ac:dyDescent="0.25">
      <c r="A220" s="158" t="s">
        <v>807</v>
      </c>
      <c r="B220" s="331">
        <v>2616000</v>
      </c>
      <c r="C220" s="8"/>
      <c r="D220" s="8"/>
      <c r="E220" s="8"/>
      <c r="F220" s="8"/>
      <c r="G220" s="8"/>
      <c r="H220" s="8">
        <v>1000000</v>
      </c>
      <c r="I220" s="8"/>
      <c r="J220" s="8"/>
      <c r="K220" s="8"/>
      <c r="L220" s="8"/>
      <c r="M220" s="8"/>
      <c r="N220" s="8"/>
      <c r="O220" s="401">
        <f t="shared" si="99"/>
        <v>1000000</v>
      </c>
      <c r="P220" s="213">
        <f t="shared" si="80"/>
        <v>-0.61773700305810397</v>
      </c>
    </row>
    <row r="221" spans="1:16" s="35" customFormat="1" x14ac:dyDescent="0.25">
      <c r="A221" s="158" t="s">
        <v>814</v>
      </c>
      <c r="B221" s="331">
        <v>630000</v>
      </c>
      <c r="C221" s="8"/>
      <c r="D221" s="8"/>
      <c r="E221" s="8"/>
      <c r="F221" s="8"/>
      <c r="G221" s="8"/>
      <c r="H221" s="8"/>
      <c r="I221" s="8"/>
      <c r="J221" s="8"/>
      <c r="K221" s="8">
        <f>ROUND(((+$B$221*$B$50)+$B$221)/1,-3)</f>
        <v>656000</v>
      </c>
      <c r="L221" s="8"/>
      <c r="M221" s="8"/>
      <c r="N221" s="8"/>
      <c r="O221" s="401">
        <f t="shared" si="99"/>
        <v>656000</v>
      </c>
      <c r="P221" s="213">
        <f t="shared" si="80"/>
        <v>4.1269841269841269E-2</v>
      </c>
    </row>
    <row r="222" spans="1:16" x14ac:dyDescent="0.25">
      <c r="A222" s="290" t="s">
        <v>309</v>
      </c>
      <c r="B222" s="307">
        <v>2855000</v>
      </c>
      <c r="C222" s="8">
        <f t="shared" ref="C222:N222" si="117">ROUND(((+$B$222*$B$50)+$B$222)/12,-3)</f>
        <v>248000</v>
      </c>
      <c r="D222" s="8">
        <f t="shared" si="117"/>
        <v>248000</v>
      </c>
      <c r="E222" s="8">
        <f t="shared" si="117"/>
        <v>248000</v>
      </c>
      <c r="F222" s="8">
        <f t="shared" si="117"/>
        <v>248000</v>
      </c>
      <c r="G222" s="8">
        <f t="shared" si="117"/>
        <v>248000</v>
      </c>
      <c r="H222" s="8">
        <f t="shared" si="117"/>
        <v>248000</v>
      </c>
      <c r="I222" s="8">
        <f t="shared" si="117"/>
        <v>248000</v>
      </c>
      <c r="J222" s="8">
        <f t="shared" si="117"/>
        <v>248000</v>
      </c>
      <c r="K222" s="8">
        <f t="shared" si="117"/>
        <v>248000</v>
      </c>
      <c r="L222" s="8">
        <f t="shared" si="117"/>
        <v>248000</v>
      </c>
      <c r="M222" s="8">
        <f t="shared" si="117"/>
        <v>248000</v>
      </c>
      <c r="N222" s="8">
        <f t="shared" si="117"/>
        <v>248000</v>
      </c>
      <c r="O222" s="401">
        <f t="shared" si="99"/>
        <v>2976000</v>
      </c>
      <c r="P222" s="213">
        <f t="shared" si="80"/>
        <v>4.2381786339754819E-2</v>
      </c>
    </row>
    <row r="223" spans="1:16" x14ac:dyDescent="0.25">
      <c r="A223" s="290" t="s">
        <v>250</v>
      </c>
      <c r="B223" s="307">
        <v>450000</v>
      </c>
      <c r="C223" s="8"/>
      <c r="D223" s="7"/>
      <c r="E223" s="8"/>
      <c r="F223" s="8">
        <f>ROUND(((+$B$223*$B$50)+$B$223),-3)</f>
        <v>469000</v>
      </c>
      <c r="G223" s="7"/>
      <c r="H223" s="8"/>
      <c r="I223" s="7"/>
      <c r="J223" s="7"/>
      <c r="K223" s="8"/>
      <c r="L223" s="7"/>
      <c r="M223" s="7"/>
      <c r="N223" s="8"/>
      <c r="O223" s="399">
        <f t="shared" si="99"/>
        <v>469000</v>
      </c>
      <c r="P223" s="213">
        <f t="shared" si="80"/>
        <v>4.2222222222222223E-2</v>
      </c>
    </row>
    <row r="224" spans="1:16" x14ac:dyDescent="0.25">
      <c r="A224" s="13" t="s">
        <v>809</v>
      </c>
      <c r="B224" s="307">
        <v>3058000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399">
        <v>0</v>
      </c>
      <c r="P224" s="213">
        <v>0</v>
      </c>
    </row>
    <row r="225" spans="1:16" x14ac:dyDescent="0.25">
      <c r="A225" s="13" t="s">
        <v>566</v>
      </c>
      <c r="B225" s="307">
        <f>918400+2000000</f>
        <v>2918400</v>
      </c>
      <c r="C225" s="8">
        <f>6500000+1000000</f>
        <v>7500000</v>
      </c>
      <c r="D225" s="8"/>
      <c r="E225" s="8">
        <v>0</v>
      </c>
      <c r="F225" s="8">
        <v>0</v>
      </c>
      <c r="G225" s="8">
        <v>0</v>
      </c>
      <c r="H225" s="8">
        <v>100000</v>
      </c>
      <c r="I225" s="8">
        <v>0</v>
      </c>
      <c r="J225" s="8"/>
      <c r="K225" s="8"/>
      <c r="L225" s="8">
        <v>0</v>
      </c>
      <c r="M225" s="8">
        <v>100000</v>
      </c>
      <c r="N225" s="8">
        <v>0</v>
      </c>
      <c r="O225" s="399">
        <f t="shared" si="99"/>
        <v>7700000</v>
      </c>
      <c r="P225" s="213">
        <f t="shared" ref="P225:P227" si="118">+(O225-B225)/B225</f>
        <v>1.6384320175438596</v>
      </c>
    </row>
    <row r="226" spans="1:16" x14ac:dyDescent="0.25">
      <c r="A226" s="13" t="s">
        <v>808</v>
      </c>
      <c r="B226" s="307">
        <v>41000</v>
      </c>
      <c r="C226" s="8"/>
      <c r="D226" s="8"/>
      <c r="E226" s="8"/>
      <c r="F226" s="8">
        <v>0</v>
      </c>
      <c r="G226" s="8"/>
      <c r="H226" s="8">
        <v>0</v>
      </c>
      <c r="I226" s="8">
        <v>0</v>
      </c>
      <c r="J226" s="8"/>
      <c r="K226" s="8"/>
      <c r="L226" s="8"/>
      <c r="M226" s="8"/>
      <c r="N226" s="8"/>
      <c r="O226" s="399">
        <f t="shared" si="99"/>
        <v>0</v>
      </c>
      <c r="P226" s="213">
        <f t="shared" si="118"/>
        <v>-1</v>
      </c>
    </row>
    <row r="227" spans="1:16" x14ac:dyDescent="0.25">
      <c r="A227" s="290" t="s">
        <v>810</v>
      </c>
      <c r="B227" s="307">
        <f>1955000+1000000</f>
        <v>2955000</v>
      </c>
      <c r="C227" s="8">
        <v>100000</v>
      </c>
      <c r="D227" s="8">
        <v>300000</v>
      </c>
      <c r="E227" s="8">
        <v>1000000</v>
      </c>
      <c r="F227" s="8">
        <v>0</v>
      </c>
      <c r="G227" s="8">
        <v>300000</v>
      </c>
      <c r="H227" s="8">
        <v>100000</v>
      </c>
      <c r="I227" s="8">
        <v>0</v>
      </c>
      <c r="J227" s="8">
        <v>1000000</v>
      </c>
      <c r="K227" s="8">
        <v>0</v>
      </c>
      <c r="L227" s="8">
        <v>2000000</v>
      </c>
      <c r="M227" s="8">
        <v>200000</v>
      </c>
      <c r="N227" s="8">
        <f>150000*10</f>
        <v>1500000</v>
      </c>
      <c r="O227" s="399">
        <f t="shared" si="99"/>
        <v>6500000</v>
      </c>
      <c r="P227" s="213">
        <f t="shared" si="118"/>
        <v>1.1996615905245347</v>
      </c>
    </row>
    <row r="228" spans="1:16" s="6" customFormat="1" x14ac:dyDescent="0.25">
      <c r="A228" s="18" t="s">
        <v>87</v>
      </c>
      <c r="B228" s="306">
        <f>+B229</f>
        <v>9535000</v>
      </c>
      <c r="C228" s="10">
        <f>+C229</f>
        <v>2920000</v>
      </c>
      <c r="D228" s="10">
        <f t="shared" ref="D228:O228" si="119">+D229</f>
        <v>2847000</v>
      </c>
      <c r="E228" s="10">
        <f t="shared" si="119"/>
        <v>2776000</v>
      </c>
      <c r="F228" s="10">
        <f t="shared" si="119"/>
        <v>2705000</v>
      </c>
      <c r="G228" s="10">
        <f t="shared" si="119"/>
        <v>2633000</v>
      </c>
      <c r="H228" s="10">
        <f t="shared" si="119"/>
        <v>2562000</v>
      </c>
      <c r="I228" s="10">
        <f t="shared" si="119"/>
        <v>2491000</v>
      </c>
      <c r="J228" s="10">
        <f t="shared" si="119"/>
        <v>2419000</v>
      </c>
      <c r="K228" s="10">
        <f t="shared" si="119"/>
        <v>2348000</v>
      </c>
      <c r="L228" s="10">
        <f t="shared" si="119"/>
        <v>2277000</v>
      </c>
      <c r="M228" s="10">
        <f t="shared" si="119"/>
        <v>2205000</v>
      </c>
      <c r="N228" s="10">
        <f t="shared" si="119"/>
        <v>2134000</v>
      </c>
      <c r="O228" s="396">
        <f t="shared" si="119"/>
        <v>30317000</v>
      </c>
      <c r="P228" s="213">
        <f t="shared" ref="P228:P235" si="120">+(O228-B228)/B228</f>
        <v>2.1795490298898792</v>
      </c>
    </row>
    <row r="229" spans="1:16" s="6" customFormat="1" x14ac:dyDescent="0.25">
      <c r="A229" s="18" t="s">
        <v>88</v>
      </c>
      <c r="B229" s="306">
        <f t="shared" ref="B229:O229" si="121">SUM(B230:B233)</f>
        <v>9535000</v>
      </c>
      <c r="C229" s="10">
        <f t="shared" si="121"/>
        <v>2920000</v>
      </c>
      <c r="D229" s="10">
        <f t="shared" si="121"/>
        <v>2847000</v>
      </c>
      <c r="E229" s="10">
        <f t="shared" si="121"/>
        <v>2776000</v>
      </c>
      <c r="F229" s="10">
        <f t="shared" si="121"/>
        <v>2705000</v>
      </c>
      <c r="G229" s="10">
        <f t="shared" si="121"/>
        <v>2633000</v>
      </c>
      <c r="H229" s="10">
        <f t="shared" si="121"/>
        <v>2562000</v>
      </c>
      <c r="I229" s="10">
        <f t="shared" si="121"/>
        <v>2491000</v>
      </c>
      <c r="J229" s="10">
        <f t="shared" si="121"/>
        <v>2419000</v>
      </c>
      <c r="K229" s="10">
        <f t="shared" si="121"/>
        <v>2348000</v>
      </c>
      <c r="L229" s="10">
        <f t="shared" si="121"/>
        <v>2277000</v>
      </c>
      <c r="M229" s="10">
        <f t="shared" si="121"/>
        <v>2205000</v>
      </c>
      <c r="N229" s="10">
        <f t="shared" si="121"/>
        <v>2134000</v>
      </c>
      <c r="O229" s="396">
        <f t="shared" si="121"/>
        <v>30317000</v>
      </c>
      <c r="P229" s="213">
        <f t="shared" si="120"/>
        <v>2.1795490298898792</v>
      </c>
    </row>
    <row r="230" spans="1:16" s="6" customFormat="1" x14ac:dyDescent="0.25">
      <c r="A230" s="13" t="s">
        <v>89</v>
      </c>
      <c r="B230" s="307">
        <v>2360000</v>
      </c>
      <c r="C230" s="8">
        <f>ROUND(((+$B$230*$B$50)+$B$230)/12,-3)</f>
        <v>205000</v>
      </c>
      <c r="D230" s="8">
        <f t="shared" ref="D230:N230" si="122">ROUND(((+$B$230*$B$50)+$B$230)/12,-3)</f>
        <v>205000</v>
      </c>
      <c r="E230" s="8">
        <f t="shared" si="122"/>
        <v>205000</v>
      </c>
      <c r="F230" s="8">
        <f t="shared" si="122"/>
        <v>205000</v>
      </c>
      <c r="G230" s="8">
        <f t="shared" si="122"/>
        <v>205000</v>
      </c>
      <c r="H230" s="8">
        <f t="shared" si="122"/>
        <v>205000</v>
      </c>
      <c r="I230" s="8">
        <f t="shared" si="122"/>
        <v>205000</v>
      </c>
      <c r="J230" s="8">
        <f t="shared" si="122"/>
        <v>205000</v>
      </c>
      <c r="K230" s="8">
        <f t="shared" si="122"/>
        <v>205000</v>
      </c>
      <c r="L230" s="8">
        <f t="shared" si="122"/>
        <v>205000</v>
      </c>
      <c r="M230" s="8">
        <f t="shared" si="122"/>
        <v>205000</v>
      </c>
      <c r="N230" s="8">
        <f t="shared" si="122"/>
        <v>205000</v>
      </c>
      <c r="O230" s="399">
        <f t="shared" ref="O230:O233" si="123">SUM(C230:N230)</f>
        <v>2460000</v>
      </c>
      <c r="P230" s="213">
        <f t="shared" si="120"/>
        <v>4.2372881355932202E-2</v>
      </c>
    </row>
    <row r="231" spans="1:16" s="6" customFormat="1" x14ac:dyDescent="0.25">
      <c r="A231" s="13" t="s">
        <v>90</v>
      </c>
      <c r="B231" s="307">
        <v>0</v>
      </c>
      <c r="C231" s="8">
        <f>+$Q$293*C298</f>
        <v>0</v>
      </c>
      <c r="D231" s="8">
        <f>+$Q$293*D298</f>
        <v>0</v>
      </c>
      <c r="E231" s="8">
        <f>+$Q$293*E298</f>
        <v>0</v>
      </c>
      <c r="F231" s="8">
        <f>+$Q$293*F298</f>
        <v>0</v>
      </c>
      <c r="G231" s="8">
        <f>+$Q$293*G298</f>
        <v>0</v>
      </c>
      <c r="H231" s="8">
        <v>0</v>
      </c>
      <c r="I231" s="8">
        <f t="shared" ref="I231:N231" si="124">+$Q$293*I298</f>
        <v>0</v>
      </c>
      <c r="J231" s="8">
        <f t="shared" si="124"/>
        <v>0</v>
      </c>
      <c r="K231" s="8">
        <f t="shared" si="124"/>
        <v>0</v>
      </c>
      <c r="L231" s="8">
        <f t="shared" si="124"/>
        <v>0</v>
      </c>
      <c r="M231" s="8">
        <f t="shared" si="124"/>
        <v>0</v>
      </c>
      <c r="N231" s="8">
        <f t="shared" si="124"/>
        <v>0</v>
      </c>
      <c r="O231" s="399">
        <f t="shared" si="123"/>
        <v>0</v>
      </c>
      <c r="P231" s="213">
        <v>0</v>
      </c>
    </row>
    <row r="232" spans="1:16" s="6" customFormat="1" x14ac:dyDescent="0.25">
      <c r="A232" s="13" t="s">
        <v>91</v>
      </c>
      <c r="B232" s="307">
        <v>1686000</v>
      </c>
      <c r="C232" s="8">
        <f>ROUND(((+$B$232*$B$50)+$B$232)/12,-3)</f>
        <v>146000</v>
      </c>
      <c r="D232" s="8">
        <f t="shared" ref="D232:N232" si="125">ROUND(((+$B$232*$B$50)+$B$232)/12,-3)</f>
        <v>146000</v>
      </c>
      <c r="E232" s="8">
        <f t="shared" si="125"/>
        <v>146000</v>
      </c>
      <c r="F232" s="8">
        <f t="shared" si="125"/>
        <v>146000</v>
      </c>
      <c r="G232" s="8">
        <f t="shared" si="125"/>
        <v>146000</v>
      </c>
      <c r="H232" s="8">
        <f t="shared" si="125"/>
        <v>146000</v>
      </c>
      <c r="I232" s="8">
        <f t="shared" si="125"/>
        <v>146000</v>
      </c>
      <c r="J232" s="8">
        <f t="shared" si="125"/>
        <v>146000</v>
      </c>
      <c r="K232" s="8">
        <f t="shared" si="125"/>
        <v>146000</v>
      </c>
      <c r="L232" s="8">
        <f t="shared" si="125"/>
        <v>146000</v>
      </c>
      <c r="M232" s="8">
        <f t="shared" si="125"/>
        <v>146000</v>
      </c>
      <c r="N232" s="8">
        <f t="shared" si="125"/>
        <v>146000</v>
      </c>
      <c r="O232" s="399">
        <f t="shared" si="123"/>
        <v>1752000</v>
      </c>
      <c r="P232" s="213">
        <f t="shared" si="120"/>
        <v>3.9145907473309607E-2</v>
      </c>
    </row>
    <row r="233" spans="1:16" x14ac:dyDescent="0.25">
      <c r="A233" s="13" t="s">
        <v>122</v>
      </c>
      <c r="B233" s="307">
        <v>5489000</v>
      </c>
      <c r="C233" s="8">
        <v>2569000</v>
      </c>
      <c r="D233" s="8">
        <v>2496000</v>
      </c>
      <c r="E233" s="8">
        <v>2425000</v>
      </c>
      <c r="F233" s="8">
        <v>2354000</v>
      </c>
      <c r="G233" s="8">
        <v>2282000</v>
      </c>
      <c r="H233" s="8">
        <v>2211000</v>
      </c>
      <c r="I233" s="8">
        <v>2140000</v>
      </c>
      <c r="J233" s="8">
        <v>2068000</v>
      </c>
      <c r="K233" s="8">
        <v>1997000</v>
      </c>
      <c r="L233" s="8">
        <v>1926000</v>
      </c>
      <c r="M233" s="8">
        <v>1854000</v>
      </c>
      <c r="N233" s="8">
        <v>1783000</v>
      </c>
      <c r="O233" s="399">
        <f t="shared" si="123"/>
        <v>26105000</v>
      </c>
      <c r="P233" s="213">
        <f t="shared" si="120"/>
        <v>3.755875387137912</v>
      </c>
    </row>
    <row r="234" spans="1:16" s="6" customFormat="1" x14ac:dyDescent="0.25">
      <c r="A234" s="13" t="s">
        <v>92</v>
      </c>
      <c r="B234" s="30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394"/>
      <c r="P234" s="213"/>
    </row>
    <row r="235" spans="1:16" ht="11" thickBot="1" x14ac:dyDescent="0.3">
      <c r="A235" s="33" t="s">
        <v>158</v>
      </c>
      <c r="B235" s="333">
        <f t="shared" ref="B235:O235" si="126">+B7-B52</f>
        <v>35419030</v>
      </c>
      <c r="C235" s="34">
        <f t="shared" si="126"/>
        <v>-24661974.399999999</v>
      </c>
      <c r="D235" s="34">
        <f t="shared" si="126"/>
        <v>6527514.6000000015</v>
      </c>
      <c r="E235" s="34">
        <f t="shared" si="126"/>
        <v>54725911.539333336</v>
      </c>
      <c r="F235" s="34">
        <f t="shared" si="126"/>
        <v>-3701277.3999999985</v>
      </c>
      <c r="G235" s="34">
        <f t="shared" si="126"/>
        <v>-816107.60000000149</v>
      </c>
      <c r="H235" s="34">
        <f t="shared" si="126"/>
        <v>-667130.86066666618</v>
      </c>
      <c r="I235" s="34">
        <f t="shared" si="126"/>
        <v>-1680478.5</v>
      </c>
      <c r="J235" s="34">
        <f t="shared" si="126"/>
        <v>4818516.1000000015</v>
      </c>
      <c r="K235" s="34">
        <f t="shared" si="126"/>
        <v>2530256.9393333346</v>
      </c>
      <c r="L235" s="34">
        <f t="shared" si="126"/>
        <v>10383196.100000001</v>
      </c>
      <c r="M235" s="34">
        <f t="shared" si="126"/>
        <v>-25686243.899999999</v>
      </c>
      <c r="N235" s="34">
        <f t="shared" si="126"/>
        <v>-6572243.8999999985</v>
      </c>
      <c r="O235" s="400">
        <f t="shared" si="126"/>
        <v>15199938.717999995</v>
      </c>
      <c r="P235" s="213">
        <f t="shared" si="120"/>
        <v>-0.57085389639411366</v>
      </c>
    </row>
    <row r="237" spans="1:16" x14ac:dyDescent="0.25">
      <c r="C237" s="21"/>
      <c r="H237" s="21"/>
    </row>
    <row r="243" spans="1:17" x14ac:dyDescent="0.25">
      <c r="A243" s="245" t="s">
        <v>470</v>
      </c>
      <c r="C243" s="8">
        <v>2950500</v>
      </c>
      <c r="D243" s="8">
        <v>3538500</v>
      </c>
      <c r="E243" s="8">
        <v>59409000</v>
      </c>
      <c r="F243" s="8">
        <v>105000</v>
      </c>
      <c r="G243" s="8">
        <v>220500</v>
      </c>
      <c r="H243" s="8">
        <v>0</v>
      </c>
      <c r="I243" s="8">
        <v>105000</v>
      </c>
      <c r="J243" s="8">
        <v>0</v>
      </c>
      <c r="K243" s="8">
        <v>294000</v>
      </c>
      <c r="L243" s="8">
        <v>0</v>
      </c>
      <c r="M243" s="8">
        <v>0</v>
      </c>
      <c r="N243" s="8">
        <v>0</v>
      </c>
      <c r="O243" s="10">
        <f>+SUM(C243:N243)</f>
        <v>66622500</v>
      </c>
      <c r="Q243" s="21">
        <f>+O243*10%+O243</f>
        <v>73284750</v>
      </c>
    </row>
    <row r="245" spans="1:17" x14ac:dyDescent="0.25">
      <c r="C245" s="202">
        <f>+C243/$O$243</f>
        <v>4.4286840031520884E-2</v>
      </c>
      <c r="D245" s="202">
        <f t="shared" ref="D245:N245" si="127">+D243/$O$243</f>
        <v>5.3112687155240347E-2</v>
      </c>
      <c r="E245" s="202">
        <f t="shared" si="127"/>
        <v>0.89172576832151296</v>
      </c>
      <c r="F245" s="202">
        <f t="shared" si="127"/>
        <v>1.5760441292356187E-3</v>
      </c>
      <c r="G245" s="202">
        <f t="shared" si="127"/>
        <v>3.3096926713947991E-3</v>
      </c>
      <c r="H245" s="202">
        <f t="shared" si="127"/>
        <v>0</v>
      </c>
      <c r="I245" s="202">
        <f t="shared" si="127"/>
        <v>1.5760441292356187E-3</v>
      </c>
      <c r="J245" s="202">
        <f t="shared" si="127"/>
        <v>0</v>
      </c>
      <c r="K245" s="202">
        <f t="shared" si="127"/>
        <v>4.4129235618597324E-3</v>
      </c>
      <c r="L245" s="202">
        <f t="shared" si="127"/>
        <v>0</v>
      </c>
      <c r="M245" s="202">
        <f t="shared" si="127"/>
        <v>0</v>
      </c>
      <c r="N245" s="202">
        <f t="shared" si="127"/>
        <v>0</v>
      </c>
    </row>
    <row r="247" spans="1:17" ht="12" x14ac:dyDescent="0.3">
      <c r="A247" s="245" t="s">
        <v>471</v>
      </c>
      <c r="C247" s="203">
        <v>384000</v>
      </c>
      <c r="D247" s="203">
        <v>676000</v>
      </c>
      <c r="E247" s="203">
        <v>281000</v>
      </c>
      <c r="F247" s="203">
        <v>138000</v>
      </c>
      <c r="G247" s="203">
        <v>640000</v>
      </c>
      <c r="H247" s="203">
        <v>265000</v>
      </c>
      <c r="I247" s="203">
        <v>1150000</v>
      </c>
      <c r="J247" s="203">
        <v>3403000</v>
      </c>
      <c r="K247" s="203">
        <v>200000</v>
      </c>
      <c r="L247" s="203">
        <v>145000</v>
      </c>
      <c r="M247" s="203">
        <v>4000000</v>
      </c>
      <c r="N247" s="203">
        <v>200000</v>
      </c>
      <c r="O247" s="10">
        <f>+SUM(C247:N247)</f>
        <v>11482000</v>
      </c>
      <c r="Q247" s="21">
        <f>+O247*10%+O247</f>
        <v>12630200</v>
      </c>
    </row>
    <row r="249" spans="1:17" x14ac:dyDescent="0.25">
      <c r="C249" s="26">
        <f>+C247/$O$247</f>
        <v>3.3443650931893401E-2</v>
      </c>
      <c r="D249" s="26">
        <f t="shared" ref="D249:N249" si="128">+D247/$O$247</f>
        <v>5.8874760494687338E-2</v>
      </c>
      <c r="E249" s="26">
        <f t="shared" si="128"/>
        <v>2.4473088312140741E-2</v>
      </c>
      <c r="F249" s="26">
        <f t="shared" si="128"/>
        <v>1.201881205364919E-2</v>
      </c>
      <c r="G249" s="26">
        <f t="shared" si="128"/>
        <v>5.5739418219822333E-2</v>
      </c>
      <c r="H249" s="26">
        <f t="shared" si="128"/>
        <v>2.3079602856645183E-2</v>
      </c>
      <c r="I249" s="26">
        <f t="shared" si="128"/>
        <v>0.10015676711374324</v>
      </c>
      <c r="J249" s="26">
        <f t="shared" si="128"/>
        <v>0.29637693781571156</v>
      </c>
      <c r="K249" s="26">
        <f t="shared" si="128"/>
        <v>1.7418568193694479E-2</v>
      </c>
      <c r="L249" s="26">
        <f t="shared" si="128"/>
        <v>1.2628461940428496E-2</v>
      </c>
      <c r="M249" s="26">
        <f t="shared" si="128"/>
        <v>0.34837136387388956</v>
      </c>
      <c r="N249" s="26">
        <f t="shared" si="128"/>
        <v>1.7418568193694479E-2</v>
      </c>
    </row>
    <row r="252" spans="1:17" ht="12" x14ac:dyDescent="0.3">
      <c r="A252" s="245" t="s">
        <v>472</v>
      </c>
      <c r="C252" s="203">
        <v>0</v>
      </c>
      <c r="D252" s="203">
        <v>63324</v>
      </c>
      <c r="E252" s="203">
        <v>949860</v>
      </c>
      <c r="F252" s="203">
        <v>823212</v>
      </c>
      <c r="G252" s="203">
        <v>823212</v>
      </c>
      <c r="H252" s="203">
        <v>1203156</v>
      </c>
      <c r="I252" s="203">
        <v>1583100</v>
      </c>
      <c r="J252" s="203">
        <v>3229524</v>
      </c>
      <c r="K252" s="203">
        <v>3229524</v>
      </c>
      <c r="L252" s="203">
        <v>1013584</v>
      </c>
      <c r="M252" s="203">
        <v>500000</v>
      </c>
      <c r="N252" s="203">
        <v>500000</v>
      </c>
      <c r="O252" s="10">
        <f>+SUM(C252:N252)</f>
        <v>13918496</v>
      </c>
      <c r="Q252" s="21">
        <f>+O252*10%+O252</f>
        <v>15310345.6</v>
      </c>
    </row>
    <row r="254" spans="1:17" x14ac:dyDescent="0.25">
      <c r="C254" s="26">
        <f>+C252/$O$252</f>
        <v>0</v>
      </c>
      <c r="D254" s="26">
        <f t="shared" ref="D254:N254" si="129">+D252/$O$252</f>
        <v>4.5496295001988723E-3</v>
      </c>
      <c r="E254" s="26">
        <f t="shared" si="129"/>
        <v>6.8244442502983074E-2</v>
      </c>
      <c r="F254" s="26">
        <f t="shared" si="129"/>
        <v>5.9145183502585338E-2</v>
      </c>
      <c r="G254" s="26">
        <f t="shared" si="129"/>
        <v>5.9145183502585338E-2</v>
      </c>
      <c r="H254" s="26">
        <f t="shared" si="129"/>
        <v>8.6442960503778574E-2</v>
      </c>
      <c r="I254" s="26">
        <f t="shared" si="129"/>
        <v>0.1137407375049718</v>
      </c>
      <c r="J254" s="26">
        <f t="shared" si="129"/>
        <v>0.23203110451014247</v>
      </c>
      <c r="K254" s="26">
        <f t="shared" si="129"/>
        <v>0.23203110451014247</v>
      </c>
      <c r="L254" s="26">
        <f t="shared" si="129"/>
        <v>7.2822810740470811E-2</v>
      </c>
      <c r="M254" s="26">
        <f t="shared" si="129"/>
        <v>3.5923421611070622E-2</v>
      </c>
      <c r="N254" s="26">
        <f t="shared" si="129"/>
        <v>3.5923421611070622E-2</v>
      </c>
    </row>
    <row r="256" spans="1:17" ht="12" x14ac:dyDescent="0.3">
      <c r="A256" s="245" t="s">
        <v>473</v>
      </c>
      <c r="C256" s="203">
        <v>130000</v>
      </c>
      <c r="D256" s="203">
        <v>192000</v>
      </c>
      <c r="E256" s="203">
        <v>214000</v>
      </c>
      <c r="F256" s="203">
        <v>200000</v>
      </c>
      <c r="G256" s="203">
        <v>146000</v>
      </c>
      <c r="H256" s="203">
        <v>172000</v>
      </c>
      <c r="I256" s="203">
        <v>120000</v>
      </c>
      <c r="J256" s="203">
        <v>156000</v>
      </c>
      <c r="K256" s="203">
        <v>166000</v>
      </c>
      <c r="L256" s="203">
        <v>225000</v>
      </c>
      <c r="M256" s="203">
        <v>166000</v>
      </c>
      <c r="N256" s="203">
        <v>166000</v>
      </c>
      <c r="O256" s="10">
        <f>+SUM(C256:N256)</f>
        <v>2053000</v>
      </c>
      <c r="Q256" s="21">
        <f>+O256*10%+O256</f>
        <v>2258300</v>
      </c>
    </row>
    <row r="258" spans="1:17" x14ac:dyDescent="0.25">
      <c r="C258" s="26">
        <f>+C256/$O$256</f>
        <v>6.332196785192401E-2</v>
      </c>
      <c r="D258" s="26">
        <f t="shared" ref="D258:N258" si="130">+D256/$O$256</f>
        <v>9.3521675596687767E-2</v>
      </c>
      <c r="E258" s="26">
        <f t="shared" si="130"/>
        <v>0.10423770092547492</v>
      </c>
      <c r="F258" s="26">
        <f t="shared" si="130"/>
        <v>9.7418412079883096E-2</v>
      </c>
      <c r="G258" s="26">
        <f t="shared" si="130"/>
        <v>7.1115440818314668E-2</v>
      </c>
      <c r="H258" s="26">
        <f t="shared" si="130"/>
        <v>8.3779834388699459E-2</v>
      </c>
      <c r="I258" s="26">
        <f t="shared" si="130"/>
        <v>5.8451047247929856E-2</v>
      </c>
      <c r="J258" s="26">
        <f t="shared" si="130"/>
        <v>7.5986361422308815E-2</v>
      </c>
      <c r="K258" s="26">
        <f t="shared" si="130"/>
        <v>8.0857282026302976E-2</v>
      </c>
      <c r="L258" s="26">
        <f t="shared" si="130"/>
        <v>0.10959571358986848</v>
      </c>
      <c r="M258" s="26">
        <f t="shared" si="130"/>
        <v>8.0857282026302976E-2</v>
      </c>
      <c r="N258" s="26">
        <f t="shared" si="130"/>
        <v>8.0857282026302976E-2</v>
      </c>
    </row>
    <row r="260" spans="1:17" ht="12" x14ac:dyDescent="0.3">
      <c r="A260" s="245" t="s">
        <v>474</v>
      </c>
      <c r="C260" s="203">
        <v>140000</v>
      </c>
      <c r="D260" s="203">
        <v>182000</v>
      </c>
      <c r="E260" s="203">
        <v>204000</v>
      </c>
      <c r="F260" s="203">
        <v>200000</v>
      </c>
      <c r="G260" s="203">
        <v>152000</v>
      </c>
      <c r="H260" s="203">
        <v>86000</v>
      </c>
      <c r="I260" s="203">
        <v>224000</v>
      </c>
      <c r="J260" s="203">
        <v>206000</v>
      </c>
      <c r="K260" s="203">
        <v>171000</v>
      </c>
      <c r="L260" s="203">
        <v>146000</v>
      </c>
      <c r="M260" s="203">
        <v>146000</v>
      </c>
      <c r="N260" s="203">
        <v>146000</v>
      </c>
      <c r="O260" s="10">
        <f>+SUM(C260:N260)</f>
        <v>2003000</v>
      </c>
      <c r="Q260" s="21">
        <f>+O260*10%+O260</f>
        <v>2203300</v>
      </c>
    </row>
    <row r="262" spans="1:17" x14ac:dyDescent="0.25">
      <c r="C262" s="26">
        <f>+C260/$O$260</f>
        <v>6.9895157264103849E-2</v>
      </c>
      <c r="D262" s="26">
        <f t="shared" ref="D262:N262" si="131">+D260/$O$260</f>
        <v>9.0863704443334997E-2</v>
      </c>
      <c r="E262" s="26">
        <f t="shared" si="131"/>
        <v>0.1018472291562656</v>
      </c>
      <c r="F262" s="26">
        <f t="shared" si="131"/>
        <v>9.9850224663005485E-2</v>
      </c>
      <c r="G262" s="26">
        <f t="shared" si="131"/>
        <v>7.5886170743884179E-2</v>
      </c>
      <c r="H262" s="26">
        <f t="shared" si="131"/>
        <v>4.2935596605092365E-2</v>
      </c>
      <c r="I262" s="26">
        <f t="shared" si="131"/>
        <v>0.11183225162256615</v>
      </c>
      <c r="J262" s="26">
        <f t="shared" si="131"/>
        <v>0.10284573140289566</v>
      </c>
      <c r="K262" s="26">
        <f t="shared" si="131"/>
        <v>8.5371942086869698E-2</v>
      </c>
      <c r="L262" s="26">
        <f t="shared" si="131"/>
        <v>7.2890664003994007E-2</v>
      </c>
      <c r="M262" s="26">
        <f t="shared" si="131"/>
        <v>7.2890664003994007E-2</v>
      </c>
      <c r="N262" s="26">
        <f t="shared" si="131"/>
        <v>7.2890664003994007E-2</v>
      </c>
    </row>
    <row r="264" spans="1:17" ht="12" x14ac:dyDescent="0.3">
      <c r="A264" s="245" t="s">
        <v>475</v>
      </c>
      <c r="C264" s="204">
        <v>118106</v>
      </c>
      <c r="D264" s="204">
        <v>79986</v>
      </c>
      <c r="E264" s="204">
        <v>93807</v>
      </c>
      <c r="F264" s="204">
        <v>76966</v>
      </c>
      <c r="G264" s="204">
        <v>69124</v>
      </c>
      <c r="H264" s="204">
        <v>63203</v>
      </c>
      <c r="I264" s="204">
        <v>64415</v>
      </c>
      <c r="J264" s="204">
        <v>62851</v>
      </c>
      <c r="K264" s="204">
        <v>60101</v>
      </c>
      <c r="L264" s="204">
        <v>60101</v>
      </c>
      <c r="M264" s="204">
        <v>60101</v>
      </c>
      <c r="N264" s="204">
        <v>60101</v>
      </c>
      <c r="O264" s="10">
        <f>+SUM(C264:N264)</f>
        <v>868862</v>
      </c>
      <c r="Q264" s="21">
        <f>+O264*10%+O264</f>
        <v>955748.2</v>
      </c>
    </row>
    <row r="266" spans="1:17" x14ac:dyDescent="0.25">
      <c r="C266" s="26">
        <f>+C264/$O$264</f>
        <v>0.13593182806935969</v>
      </c>
      <c r="D266" s="26">
        <f t="shared" ref="D266:N266" si="132">+D264/$O$264</f>
        <v>9.2058347585692549E-2</v>
      </c>
      <c r="E266" s="26">
        <f t="shared" si="132"/>
        <v>0.10796536158791614</v>
      </c>
      <c r="F266" s="26">
        <f t="shared" si="132"/>
        <v>8.8582536697427203E-2</v>
      </c>
      <c r="G266" s="26">
        <f t="shared" si="132"/>
        <v>7.9556937695514363E-2</v>
      </c>
      <c r="H266" s="26">
        <f t="shared" si="132"/>
        <v>7.2742276679150425E-2</v>
      </c>
      <c r="I266" s="26">
        <f t="shared" si="132"/>
        <v>7.4137204757487377E-2</v>
      </c>
      <c r="J266" s="26">
        <f t="shared" si="132"/>
        <v>7.233714905243871E-2</v>
      </c>
      <c r="K266" s="26">
        <f t="shared" si="132"/>
        <v>6.9172089468753375E-2</v>
      </c>
      <c r="L266" s="26">
        <f t="shared" si="132"/>
        <v>6.9172089468753375E-2</v>
      </c>
      <c r="M266" s="26">
        <f t="shared" si="132"/>
        <v>6.9172089468753375E-2</v>
      </c>
      <c r="N266" s="26">
        <f t="shared" si="132"/>
        <v>6.9172089468753375E-2</v>
      </c>
    </row>
    <row r="268" spans="1:17" ht="12" x14ac:dyDescent="0.3">
      <c r="A268" s="245" t="s">
        <v>476</v>
      </c>
      <c r="C268" s="203">
        <v>3485533</v>
      </c>
      <c r="D268" s="203">
        <v>8234001</v>
      </c>
      <c r="E268" s="203">
        <v>6940094</v>
      </c>
      <c r="F268" s="203">
        <v>5001232</v>
      </c>
      <c r="G268" s="203">
        <v>3223909</v>
      </c>
      <c r="H268" s="203">
        <v>5626712</v>
      </c>
      <c r="I268" s="203">
        <v>7665231</v>
      </c>
      <c r="J268" s="203">
        <v>6059962</v>
      </c>
      <c r="K268" s="203">
        <v>7206116</v>
      </c>
      <c r="L268" s="203">
        <v>7918768</v>
      </c>
      <c r="M268" s="203">
        <v>2744598.4146729056</v>
      </c>
      <c r="N268" s="203">
        <v>1756542.9853906594</v>
      </c>
      <c r="O268" s="10">
        <f>+SUM(C268:N268)</f>
        <v>65862699.400063559</v>
      </c>
      <c r="Q268" s="21">
        <f>+O268*10%+O268</f>
        <v>72448969.34006992</v>
      </c>
    </row>
    <row r="270" spans="1:17" x14ac:dyDescent="0.25">
      <c r="C270" s="26">
        <f>+C268/$O$268</f>
        <v>5.2921198671620741E-2</v>
      </c>
      <c r="D270" s="26">
        <f t="shared" ref="D270:N270" si="133">+D268/$O$268</f>
        <v>0.12501766667632291</v>
      </c>
      <c r="E270" s="26">
        <f t="shared" si="133"/>
        <v>0.10537214634712197</v>
      </c>
      <c r="F270" s="26">
        <f t="shared" si="133"/>
        <v>7.5934209280149448E-2</v>
      </c>
      <c r="G270" s="26">
        <f t="shared" si="133"/>
        <v>4.8948935123617004E-2</v>
      </c>
      <c r="H270" s="26">
        <f t="shared" si="133"/>
        <v>8.543093513100937E-2</v>
      </c>
      <c r="I270" s="26">
        <f t="shared" si="133"/>
        <v>0.11638197446842884</v>
      </c>
      <c r="J270" s="26">
        <f t="shared" si="133"/>
        <v>9.2009013526617653E-2</v>
      </c>
      <c r="K270" s="26">
        <f t="shared" si="133"/>
        <v>0.10941118517218026</v>
      </c>
      <c r="L270" s="26">
        <f t="shared" si="133"/>
        <v>0.12023145228074812</v>
      </c>
      <c r="M270" s="26">
        <f t="shared" si="133"/>
        <v>4.1671514220843746E-2</v>
      </c>
      <c r="N270" s="26">
        <f t="shared" si="133"/>
        <v>2.6669769101339995E-2</v>
      </c>
    </row>
    <row r="272" spans="1:17" ht="12" x14ac:dyDescent="0.3">
      <c r="A272" s="245" t="s">
        <v>500</v>
      </c>
      <c r="C272" s="7">
        <v>0</v>
      </c>
      <c r="D272" s="7">
        <v>0</v>
      </c>
      <c r="E272" s="204">
        <v>100456</v>
      </c>
      <c r="F272" s="204">
        <v>430986</v>
      </c>
      <c r="G272" s="203">
        <v>0</v>
      </c>
      <c r="H272" s="204">
        <v>1039028</v>
      </c>
      <c r="I272" s="7">
        <v>0</v>
      </c>
      <c r="J272" s="204">
        <v>177275</v>
      </c>
      <c r="K272" s="203">
        <v>0</v>
      </c>
      <c r="L272" s="204">
        <v>98487</v>
      </c>
      <c r="M272" s="7">
        <v>0</v>
      </c>
      <c r="N272" s="7">
        <v>0</v>
      </c>
      <c r="O272" s="10">
        <f>+SUM(C272:N272)</f>
        <v>1846232</v>
      </c>
      <c r="Q272" s="21">
        <f>+O272*10%+O272</f>
        <v>2030855.2</v>
      </c>
    </row>
    <row r="273" spans="1:18" ht="12" x14ac:dyDescent="0.3">
      <c r="L273" s="204"/>
    </row>
    <row r="274" spans="1:18" x14ac:dyDescent="0.25">
      <c r="C274" s="26">
        <f>+C272/$O$272</f>
        <v>0</v>
      </c>
      <c r="D274" s="26">
        <f t="shared" ref="D274:N274" si="134">+D272/$O$272</f>
        <v>0</v>
      </c>
      <c r="E274" s="26">
        <f t="shared" si="134"/>
        <v>5.4411363252288986E-2</v>
      </c>
      <c r="F274" s="26">
        <f t="shared" si="134"/>
        <v>0.2334408676699353</v>
      </c>
      <c r="G274" s="26">
        <f t="shared" si="134"/>
        <v>0</v>
      </c>
      <c r="H274" s="26">
        <f t="shared" si="134"/>
        <v>0.56278300885262522</v>
      </c>
      <c r="I274" s="26">
        <f t="shared" si="134"/>
        <v>0</v>
      </c>
      <c r="J274" s="26">
        <f t="shared" si="134"/>
        <v>9.601989349117554E-2</v>
      </c>
      <c r="K274" s="26">
        <f t="shared" si="134"/>
        <v>0</v>
      </c>
      <c r="L274" s="26">
        <f t="shared" si="134"/>
        <v>5.3344866733974927E-2</v>
      </c>
      <c r="M274" s="26">
        <f t="shared" si="134"/>
        <v>0</v>
      </c>
      <c r="N274" s="26">
        <f t="shared" si="134"/>
        <v>0</v>
      </c>
    </row>
    <row r="275" spans="1:18" x14ac:dyDescent="0.25">
      <c r="Q275" s="5" t="s">
        <v>485</v>
      </c>
      <c r="R275" s="5" t="s">
        <v>486</v>
      </c>
    </row>
    <row r="276" spans="1:18" ht="12" x14ac:dyDescent="0.3">
      <c r="A276" s="245" t="s">
        <v>477</v>
      </c>
      <c r="C276" s="204">
        <v>23275</v>
      </c>
      <c r="D276" s="204">
        <v>317242</v>
      </c>
      <c r="E276" s="204">
        <v>1320431</v>
      </c>
      <c r="F276" s="204">
        <v>1669828</v>
      </c>
      <c r="G276" s="204">
        <v>888447</v>
      </c>
      <c r="H276" s="204">
        <v>3395689</v>
      </c>
      <c r="I276" s="204">
        <v>685345</v>
      </c>
      <c r="J276" s="204">
        <v>5979312</v>
      </c>
      <c r="K276" s="204">
        <v>1288793</v>
      </c>
      <c r="L276" s="204">
        <v>558190</v>
      </c>
      <c r="M276" s="204">
        <v>630022.72134010354</v>
      </c>
      <c r="N276" s="204">
        <v>315011.36067005177</v>
      </c>
      <c r="O276" s="10">
        <f>+SUM(C276:N276)</f>
        <v>17071586.082010154</v>
      </c>
      <c r="Q276" s="21">
        <f>+O276*10%+O276</f>
        <v>18778744.690211169</v>
      </c>
      <c r="R276" s="21">
        <v>17220000</v>
      </c>
    </row>
    <row r="278" spans="1:18" x14ac:dyDescent="0.25">
      <c r="C278" s="202">
        <f>+C276/$O$276</f>
        <v>1.3633765420617205E-3</v>
      </c>
      <c r="D278" s="202">
        <f t="shared" ref="D278:N278" si="135">+D276/$O$276</f>
        <v>1.858304193154648E-2</v>
      </c>
      <c r="E278" s="202">
        <f t="shared" si="135"/>
        <v>7.7346708949993542E-2</v>
      </c>
      <c r="F278" s="202">
        <f t="shared" si="135"/>
        <v>9.7813289988306712E-2</v>
      </c>
      <c r="G278" s="202">
        <f t="shared" si="135"/>
        <v>5.2042440329328012E-2</v>
      </c>
      <c r="H278" s="202">
        <f t="shared" si="135"/>
        <v>0.19890881747527484</v>
      </c>
      <c r="I278" s="202">
        <f t="shared" si="135"/>
        <v>4.0145361813932974E-2</v>
      </c>
      <c r="J278" s="202">
        <f t="shared" si="135"/>
        <v>0.35024935417693448</v>
      </c>
      <c r="K278" s="202">
        <f t="shared" si="135"/>
        <v>7.5493454082635927E-2</v>
      </c>
      <c r="L278" s="202">
        <f t="shared" si="135"/>
        <v>3.2697020494669465E-2</v>
      </c>
      <c r="M278" s="202">
        <f t="shared" si="135"/>
        <v>3.6904756143543944E-2</v>
      </c>
      <c r="N278" s="202">
        <f t="shared" si="135"/>
        <v>1.8452378071771972E-2</v>
      </c>
    </row>
    <row r="280" spans="1:18" ht="12" x14ac:dyDescent="0.3">
      <c r="A280" s="245" t="s">
        <v>478</v>
      </c>
      <c r="C280" s="203">
        <v>2241379</v>
      </c>
      <c r="D280" s="7"/>
      <c r="E280" s="7"/>
      <c r="F280" s="7"/>
      <c r="G280" s="203">
        <v>0</v>
      </c>
      <c r="H280" s="203">
        <v>0</v>
      </c>
      <c r="I280" s="203">
        <v>1293104</v>
      </c>
      <c r="J280" s="203">
        <v>1508621</v>
      </c>
      <c r="K280" s="7"/>
      <c r="L280" s="7"/>
      <c r="M280" s="7"/>
      <c r="N280" s="7"/>
      <c r="O280" s="10">
        <f>+SUM(C280:N280)</f>
        <v>5043104</v>
      </c>
      <c r="Q280" s="21">
        <f>+O280*10%+O280</f>
        <v>5547414.4000000004</v>
      </c>
    </row>
    <row r="282" spans="1:18" x14ac:dyDescent="0.25">
      <c r="C282" s="26">
        <f>+C280/$O$280</f>
        <v>0.444444334283013</v>
      </c>
      <c r="D282" s="26">
        <f t="shared" ref="D282:N282" si="136">+D280/$O$280</f>
        <v>0</v>
      </c>
      <c r="E282" s="26">
        <f t="shared" si="136"/>
        <v>0</v>
      </c>
      <c r="F282" s="26">
        <f t="shared" si="136"/>
        <v>0</v>
      </c>
      <c r="G282" s="26">
        <f t="shared" si="136"/>
        <v>0</v>
      </c>
      <c r="H282" s="26">
        <f t="shared" si="136"/>
        <v>0</v>
      </c>
      <c r="I282" s="26">
        <f t="shared" si="136"/>
        <v>0.25641033776023653</v>
      </c>
      <c r="J282" s="26">
        <f t="shared" si="136"/>
        <v>0.29914532795675047</v>
      </c>
      <c r="K282" s="26">
        <f t="shared" si="136"/>
        <v>0</v>
      </c>
      <c r="L282" s="26">
        <f t="shared" si="136"/>
        <v>0</v>
      </c>
      <c r="M282" s="26">
        <f t="shared" si="136"/>
        <v>0</v>
      </c>
      <c r="N282" s="26">
        <f t="shared" si="136"/>
        <v>0</v>
      </c>
    </row>
    <row r="285" spans="1:18" ht="12" x14ac:dyDescent="0.3">
      <c r="A285" s="263" t="s">
        <v>236</v>
      </c>
      <c r="C285" s="203">
        <v>25000</v>
      </c>
      <c r="D285" s="203">
        <v>16000</v>
      </c>
      <c r="E285" s="203">
        <v>132000</v>
      </c>
      <c r="F285" s="203">
        <v>104000</v>
      </c>
      <c r="G285" s="203">
        <v>505000</v>
      </c>
      <c r="H285" s="203">
        <v>18500</v>
      </c>
      <c r="I285" s="203">
        <v>35500</v>
      </c>
      <c r="J285" s="203">
        <v>1000</v>
      </c>
      <c r="K285" s="203">
        <v>52300</v>
      </c>
      <c r="L285" s="203">
        <v>28000</v>
      </c>
      <c r="M285" s="203">
        <v>50000</v>
      </c>
      <c r="N285" s="203">
        <v>50000</v>
      </c>
      <c r="O285" s="10">
        <f>+SUM(C285:N285)</f>
        <v>1017300</v>
      </c>
      <c r="Q285" s="14">
        <f>+O285*7%+O285</f>
        <v>1088511</v>
      </c>
    </row>
    <row r="286" spans="1:18" ht="12" x14ac:dyDescent="0.3">
      <c r="A286" s="263" t="s">
        <v>261</v>
      </c>
      <c r="C286" s="203">
        <v>1300</v>
      </c>
      <c r="D286" s="203">
        <v>0</v>
      </c>
      <c r="E286" s="203">
        <v>6500</v>
      </c>
      <c r="F286" s="203">
        <v>13000</v>
      </c>
      <c r="G286" s="203">
        <v>9200</v>
      </c>
      <c r="H286" s="203">
        <v>5400</v>
      </c>
      <c r="I286" s="203">
        <v>0</v>
      </c>
      <c r="J286" s="203">
        <v>0</v>
      </c>
      <c r="K286" s="203">
        <v>1600</v>
      </c>
      <c r="L286" s="203">
        <v>11500</v>
      </c>
      <c r="M286" s="203">
        <v>11500</v>
      </c>
      <c r="N286" s="203">
        <v>11500</v>
      </c>
      <c r="O286" s="10">
        <f>+SUM(C286:N286)</f>
        <v>71500</v>
      </c>
      <c r="Q286" s="14">
        <f>+O286*7%+O286</f>
        <v>76505</v>
      </c>
    </row>
    <row r="288" spans="1:18" x14ac:dyDescent="0.25">
      <c r="C288" s="26">
        <f>+C285/$O$285</f>
        <v>2.4574855008355451E-2</v>
      </c>
      <c r="D288" s="26">
        <f t="shared" ref="D288:N288" si="137">+D285/$O$285</f>
        <v>1.5727907205347488E-2</v>
      </c>
      <c r="E288" s="26">
        <f t="shared" si="137"/>
        <v>0.12975523444411677</v>
      </c>
      <c r="F288" s="26">
        <f t="shared" si="137"/>
        <v>0.10223139683475868</v>
      </c>
      <c r="G288" s="26">
        <f t="shared" si="137"/>
        <v>0.49641207116878011</v>
      </c>
      <c r="H288" s="26">
        <f t="shared" si="137"/>
        <v>1.8185392706183034E-2</v>
      </c>
      <c r="I288" s="26">
        <f t="shared" si="137"/>
        <v>3.4896294111864741E-2</v>
      </c>
      <c r="J288" s="26">
        <f t="shared" si="137"/>
        <v>9.8299420033421802E-4</v>
      </c>
      <c r="K288" s="26">
        <f t="shared" si="137"/>
        <v>5.1410596677479603E-2</v>
      </c>
      <c r="L288" s="26">
        <f t="shared" si="137"/>
        <v>2.7523837609358105E-2</v>
      </c>
      <c r="M288" s="26">
        <f t="shared" si="137"/>
        <v>4.9149710016710903E-2</v>
      </c>
      <c r="N288" s="26">
        <f t="shared" si="137"/>
        <v>4.9149710016710903E-2</v>
      </c>
    </row>
    <row r="289" spans="1:17" x14ac:dyDescent="0.25">
      <c r="C289" s="26">
        <f>+C286/$O$286</f>
        <v>1.8181818181818181E-2</v>
      </c>
      <c r="D289" s="26">
        <f t="shared" ref="D289:N289" si="138">+D286/$O$286</f>
        <v>0</v>
      </c>
      <c r="E289" s="26">
        <f t="shared" si="138"/>
        <v>9.0909090909090912E-2</v>
      </c>
      <c r="F289" s="26">
        <f t="shared" si="138"/>
        <v>0.18181818181818182</v>
      </c>
      <c r="G289" s="26">
        <f t="shared" si="138"/>
        <v>0.12867132867132866</v>
      </c>
      <c r="H289" s="26">
        <f t="shared" si="138"/>
        <v>7.5524475524475526E-2</v>
      </c>
      <c r="I289" s="26">
        <f t="shared" si="138"/>
        <v>0</v>
      </c>
      <c r="J289" s="26">
        <f t="shared" si="138"/>
        <v>0</v>
      </c>
      <c r="K289" s="26">
        <f t="shared" si="138"/>
        <v>2.2377622377622378E-2</v>
      </c>
      <c r="L289" s="26">
        <f t="shared" si="138"/>
        <v>0.16083916083916083</v>
      </c>
      <c r="M289" s="26">
        <f t="shared" si="138"/>
        <v>0.16083916083916083</v>
      </c>
      <c r="N289" s="26">
        <f t="shared" si="138"/>
        <v>0.16083916083916083</v>
      </c>
    </row>
    <row r="292" spans="1:17" ht="12" x14ac:dyDescent="0.3">
      <c r="A292" s="215" t="s">
        <v>483</v>
      </c>
      <c r="C292" s="203">
        <v>718877</v>
      </c>
      <c r="D292" s="203">
        <v>233403</v>
      </c>
      <c r="E292" s="203">
        <v>196466</v>
      </c>
      <c r="F292" s="203">
        <v>316125</v>
      </c>
      <c r="G292" s="203">
        <v>217010</v>
      </c>
      <c r="H292" s="203">
        <v>250701</v>
      </c>
      <c r="I292" s="203">
        <v>205931</v>
      </c>
      <c r="J292" s="203">
        <v>130624</v>
      </c>
      <c r="K292" s="203">
        <v>130624</v>
      </c>
      <c r="L292" s="203">
        <v>130624</v>
      </c>
      <c r="M292" s="203">
        <v>130624</v>
      </c>
      <c r="N292" s="203">
        <v>130624</v>
      </c>
      <c r="O292" s="10">
        <f>+SUM(C292:N292)</f>
        <v>2791633</v>
      </c>
      <c r="Q292" s="9">
        <f>+O292*7%+O292</f>
        <v>2987047.31</v>
      </c>
    </row>
    <row r="293" spans="1:17" ht="12" x14ac:dyDescent="0.3">
      <c r="A293" s="215" t="s">
        <v>484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1849599</v>
      </c>
      <c r="I293" s="203">
        <v>52950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10">
        <f>+SUM(C293:N293)</f>
        <v>1902549</v>
      </c>
      <c r="Q293" s="9">
        <f>+O293*7%+O293</f>
        <v>2035727.43</v>
      </c>
    </row>
    <row r="294" spans="1:17" ht="12" x14ac:dyDescent="0.3">
      <c r="A294" s="215" t="s">
        <v>546</v>
      </c>
      <c r="C294" s="203">
        <v>178693</v>
      </c>
      <c r="D294" s="203">
        <v>45108</v>
      </c>
      <c r="E294" s="203">
        <v>102564</v>
      </c>
      <c r="F294" s="203">
        <v>78981</v>
      </c>
      <c r="G294" s="203">
        <v>88748</v>
      </c>
      <c r="H294" s="203">
        <v>98418</v>
      </c>
      <c r="I294" s="203">
        <v>134446</v>
      </c>
      <c r="J294" s="203">
        <v>147194</v>
      </c>
      <c r="K294" s="203">
        <v>147194</v>
      </c>
      <c r="L294" s="203">
        <v>147194</v>
      </c>
      <c r="M294" s="203">
        <v>147194</v>
      </c>
      <c r="N294" s="203">
        <v>147194</v>
      </c>
      <c r="O294" s="10">
        <f>+SUM(C294:N294)</f>
        <v>1462928</v>
      </c>
      <c r="Q294" s="9">
        <f>+O294*7%+O294</f>
        <v>1565332.96</v>
      </c>
    </row>
    <row r="295" spans="1:17" ht="12" x14ac:dyDescent="0.3">
      <c r="A295" s="215" t="s">
        <v>545</v>
      </c>
      <c r="C295" s="203">
        <v>1848000</v>
      </c>
      <c r="D295" s="203">
        <v>3080000</v>
      </c>
      <c r="E295" s="203">
        <v>2858111</v>
      </c>
      <c r="F295" s="203">
        <v>2903750</v>
      </c>
      <c r="G295" s="203">
        <v>2855437</v>
      </c>
      <c r="H295" s="203">
        <v>2796598</v>
      </c>
      <c r="I295" s="203">
        <v>2277972</v>
      </c>
      <c r="J295" s="203">
        <v>3268824</v>
      </c>
      <c r="K295" s="203">
        <v>2543100</v>
      </c>
      <c r="L295" s="203">
        <v>2543100</v>
      </c>
      <c r="M295" s="203">
        <v>2543100</v>
      </c>
      <c r="N295" s="203">
        <v>2543100</v>
      </c>
      <c r="O295" s="10">
        <f>+SUM(C295:N295)</f>
        <v>32061092</v>
      </c>
      <c r="Q295" s="9">
        <f>+O295*7%+O295</f>
        <v>34305368.439999998</v>
      </c>
    </row>
    <row r="297" spans="1:17" x14ac:dyDescent="0.25">
      <c r="C297" s="26">
        <f>+C292/$O$292</f>
        <v>0.25751128461370099</v>
      </c>
      <c r="D297" s="26">
        <f t="shared" ref="D297:N297" si="139">+D292/$O$292</f>
        <v>8.3608053064281734E-2</v>
      </c>
      <c r="E297" s="26">
        <f t="shared" si="139"/>
        <v>7.0376729319362535E-2</v>
      </c>
      <c r="F297" s="26">
        <f t="shared" si="139"/>
        <v>0.11324017161281587</v>
      </c>
      <c r="G297" s="26">
        <f t="shared" si="139"/>
        <v>7.7735862844435497E-2</v>
      </c>
      <c r="H297" s="26">
        <f t="shared" si="139"/>
        <v>8.9804426298155951E-2</v>
      </c>
      <c r="I297" s="26">
        <f t="shared" si="139"/>
        <v>7.376721796883759E-2</v>
      </c>
      <c r="J297" s="26">
        <f t="shared" si="139"/>
        <v>4.6791250855681962E-2</v>
      </c>
      <c r="K297" s="26">
        <f t="shared" si="139"/>
        <v>4.6791250855681962E-2</v>
      </c>
      <c r="L297" s="26">
        <f t="shared" si="139"/>
        <v>4.6791250855681962E-2</v>
      </c>
      <c r="M297" s="26">
        <f t="shared" si="139"/>
        <v>4.6791250855681962E-2</v>
      </c>
      <c r="N297" s="26">
        <f t="shared" si="139"/>
        <v>4.6791250855681962E-2</v>
      </c>
    </row>
    <row r="298" spans="1:17" x14ac:dyDescent="0.25"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</row>
    <row r="299" spans="1:17" x14ac:dyDescent="0.25">
      <c r="C299" s="26">
        <f>+C294/$O$294</f>
        <v>0.12214750144914856</v>
      </c>
      <c r="D299" s="26">
        <f t="shared" ref="D299:N299" si="140">+D294/$O$294</f>
        <v>3.0834053350540833E-2</v>
      </c>
      <c r="E299" s="26">
        <f t="shared" si="140"/>
        <v>7.0108713484190607E-2</v>
      </c>
      <c r="F299" s="26">
        <f t="shared" si="140"/>
        <v>5.398830291032778E-2</v>
      </c>
      <c r="G299" s="26">
        <f t="shared" si="140"/>
        <v>6.0664639681515427E-2</v>
      </c>
      <c r="H299" s="26">
        <f t="shared" si="140"/>
        <v>6.7274671070620018E-2</v>
      </c>
      <c r="I299" s="26">
        <f t="shared" si="140"/>
        <v>9.1901993809674842E-2</v>
      </c>
      <c r="J299" s="26">
        <f t="shared" si="140"/>
        <v>0.10061602484879639</v>
      </c>
      <c r="K299" s="26">
        <f t="shared" si="140"/>
        <v>0.10061602484879639</v>
      </c>
      <c r="L299" s="26">
        <f t="shared" si="140"/>
        <v>0.10061602484879639</v>
      </c>
      <c r="M299" s="26">
        <f t="shared" si="140"/>
        <v>0.10061602484879639</v>
      </c>
      <c r="N299" s="26">
        <f t="shared" si="140"/>
        <v>0.10061602484879639</v>
      </c>
    </row>
    <row r="300" spans="1:17" x14ac:dyDescent="0.25">
      <c r="C300" s="26">
        <f>+C295/$O$295</f>
        <v>5.7639958114963773E-2</v>
      </c>
      <c r="D300" s="26">
        <f t="shared" ref="D300:N300" si="141">+D295/$O$295</f>
        <v>9.6066596858272943E-2</v>
      </c>
      <c r="E300" s="26">
        <f t="shared" si="141"/>
        <v>8.9145778315972521E-2</v>
      </c>
      <c r="F300" s="26">
        <f t="shared" si="141"/>
        <v>9.056927942441885E-2</v>
      </c>
      <c r="G300" s="26">
        <f t="shared" si="141"/>
        <v>8.9062375043245559E-2</v>
      </c>
      <c r="H300" s="26">
        <f t="shared" si="141"/>
        <v>8.7227159948263772E-2</v>
      </c>
      <c r="I300" s="26">
        <f t="shared" si="141"/>
        <v>7.1050979798192776E-2</v>
      </c>
      <c r="J300" s="26">
        <f t="shared" si="141"/>
        <v>0.1019561030547556</v>
      </c>
      <c r="K300" s="26">
        <f t="shared" si="141"/>
        <v>7.9320442360478555E-2</v>
      </c>
      <c r="L300" s="26">
        <f t="shared" si="141"/>
        <v>7.9320442360478555E-2</v>
      </c>
      <c r="M300" s="26">
        <f t="shared" si="141"/>
        <v>7.9320442360478555E-2</v>
      </c>
      <c r="N300" s="26">
        <f t="shared" si="141"/>
        <v>7.9320442360478555E-2</v>
      </c>
    </row>
    <row r="303" spans="1:17" x14ac:dyDescent="0.25">
      <c r="A303" s="5" t="s">
        <v>664</v>
      </c>
    </row>
    <row r="305" spans="1:15" x14ac:dyDescent="0.25">
      <c r="A305" s="245" t="s">
        <v>665</v>
      </c>
      <c r="C305" s="8">
        <f>+$O$305*C245</f>
        <v>2834357.7620173367</v>
      </c>
      <c r="D305" s="8">
        <f t="shared" ref="D305:N305" si="142">+$O$305*D245</f>
        <v>3399211.9779353822</v>
      </c>
      <c r="E305" s="8">
        <f t="shared" si="142"/>
        <v>57070449.17257683</v>
      </c>
      <c r="F305" s="8">
        <f t="shared" si="142"/>
        <v>100866.8242710796</v>
      </c>
      <c r="G305" s="8">
        <f t="shared" si="142"/>
        <v>211820.33096926715</v>
      </c>
      <c r="H305" s="8">
        <f t="shared" si="142"/>
        <v>0</v>
      </c>
      <c r="I305" s="8">
        <f t="shared" si="142"/>
        <v>100866.8242710796</v>
      </c>
      <c r="J305" s="8">
        <f t="shared" si="142"/>
        <v>0</v>
      </c>
      <c r="K305" s="8">
        <f t="shared" si="142"/>
        <v>282427.10795902286</v>
      </c>
      <c r="L305" s="8">
        <f t="shared" si="142"/>
        <v>0</v>
      </c>
      <c r="M305" s="8">
        <f t="shared" si="142"/>
        <v>0</v>
      </c>
      <c r="N305" s="8">
        <f t="shared" si="142"/>
        <v>0</v>
      </c>
      <c r="O305" s="404">
        <v>64000000</v>
      </c>
    </row>
    <row r="306" spans="1:15" x14ac:dyDescent="0.25">
      <c r="A306" s="245" t="s">
        <v>906</v>
      </c>
      <c r="C306" s="8">
        <f>+$O$306*C245</f>
        <v>132860.52009456264</v>
      </c>
      <c r="D306" s="8">
        <f t="shared" ref="D306:N306" si="143">+$O$306*D245</f>
        <v>159338.06146572105</v>
      </c>
      <c r="E306" s="8">
        <f t="shared" si="143"/>
        <v>2675177.3049645387</v>
      </c>
      <c r="F306" s="8">
        <f t="shared" si="143"/>
        <v>4728.1323877068562</v>
      </c>
      <c r="G306" s="8">
        <f t="shared" si="143"/>
        <v>9929.078014184397</v>
      </c>
      <c r="H306" s="8">
        <f t="shared" si="143"/>
        <v>0</v>
      </c>
      <c r="I306" s="8">
        <f t="shared" si="143"/>
        <v>4728.1323877068562</v>
      </c>
      <c r="J306" s="8">
        <f t="shared" si="143"/>
        <v>0</v>
      </c>
      <c r="K306" s="8">
        <f t="shared" si="143"/>
        <v>13238.770685579197</v>
      </c>
      <c r="L306" s="8">
        <f t="shared" si="143"/>
        <v>0</v>
      </c>
      <c r="M306" s="8">
        <f t="shared" si="143"/>
        <v>0</v>
      </c>
      <c r="N306" s="8">
        <f t="shared" si="143"/>
        <v>0</v>
      </c>
      <c r="O306" s="404">
        <v>3000000</v>
      </c>
    </row>
    <row r="307" spans="1:15" x14ac:dyDescent="0.25">
      <c r="O307" s="10"/>
    </row>
    <row r="310" spans="1:15" ht="12" x14ac:dyDescent="0.3">
      <c r="A310" s="245" t="s">
        <v>473</v>
      </c>
      <c r="C310" s="203">
        <f>+$O$310*C258</f>
        <v>102960</v>
      </c>
      <c r="D310" s="203">
        <f t="shared" ref="D310:N310" si="144">+$O$310*D258</f>
        <v>152064</v>
      </c>
      <c r="E310" s="203">
        <f t="shared" si="144"/>
        <v>169488</v>
      </c>
      <c r="F310" s="203">
        <f t="shared" si="144"/>
        <v>158400</v>
      </c>
      <c r="G310" s="203">
        <f t="shared" si="144"/>
        <v>115632.00000000001</v>
      </c>
      <c r="H310" s="203">
        <f t="shared" si="144"/>
        <v>136224</v>
      </c>
      <c r="I310" s="203">
        <f t="shared" si="144"/>
        <v>95040</v>
      </c>
      <c r="J310" s="203">
        <f t="shared" si="144"/>
        <v>123552</v>
      </c>
      <c r="K310" s="203">
        <f t="shared" si="144"/>
        <v>131472</v>
      </c>
      <c r="L310" s="203">
        <f t="shared" si="144"/>
        <v>178200</v>
      </c>
      <c r="M310" s="203">
        <f t="shared" si="144"/>
        <v>131472</v>
      </c>
      <c r="N310" s="203">
        <f t="shared" si="144"/>
        <v>131472</v>
      </c>
      <c r="O310" s="10">
        <f>+Q256*72%</f>
        <v>1625976</v>
      </c>
    </row>
    <row r="311" spans="1:15" ht="12" x14ac:dyDescent="0.3">
      <c r="C311" s="203">
        <f>+$O$311*C258</f>
        <v>24310</v>
      </c>
      <c r="D311" s="203">
        <f t="shared" ref="D311:N311" si="145">+$O$311*D258</f>
        <v>35904</v>
      </c>
      <c r="E311" s="203">
        <f t="shared" si="145"/>
        <v>40018</v>
      </c>
      <c r="F311" s="203">
        <f t="shared" si="145"/>
        <v>37400</v>
      </c>
      <c r="G311" s="203">
        <f t="shared" si="145"/>
        <v>27302.000000000004</v>
      </c>
      <c r="H311" s="203">
        <f t="shared" si="145"/>
        <v>32163.999999999996</v>
      </c>
      <c r="I311" s="203">
        <f t="shared" si="145"/>
        <v>22440</v>
      </c>
      <c r="J311" s="203">
        <f t="shared" si="145"/>
        <v>29172</v>
      </c>
      <c r="K311" s="203">
        <f t="shared" si="145"/>
        <v>31042.000000000004</v>
      </c>
      <c r="L311" s="203">
        <f t="shared" si="145"/>
        <v>42075</v>
      </c>
      <c r="M311" s="203">
        <f t="shared" si="145"/>
        <v>31042.000000000004</v>
      </c>
      <c r="N311" s="203">
        <f t="shared" si="145"/>
        <v>31042.000000000004</v>
      </c>
      <c r="O311" s="10">
        <f>+Q256*17%</f>
        <v>383911</v>
      </c>
    </row>
    <row r="312" spans="1:15" ht="12" x14ac:dyDescent="0.3">
      <c r="C312" s="203">
        <f>+$O$312*C258</f>
        <v>15730</v>
      </c>
      <c r="D312" s="203">
        <f t="shared" ref="D312:N312" si="146">+$O$312*D258</f>
        <v>23232</v>
      </c>
      <c r="E312" s="203">
        <f t="shared" si="146"/>
        <v>25894</v>
      </c>
      <c r="F312" s="203">
        <f t="shared" si="146"/>
        <v>24200</v>
      </c>
      <c r="G312" s="203">
        <f t="shared" si="146"/>
        <v>17666</v>
      </c>
      <c r="H312" s="203">
        <f t="shared" si="146"/>
        <v>20812</v>
      </c>
      <c r="I312" s="203">
        <f t="shared" si="146"/>
        <v>14520</v>
      </c>
      <c r="J312" s="203">
        <f t="shared" si="146"/>
        <v>18876</v>
      </c>
      <c r="K312" s="203">
        <f t="shared" si="146"/>
        <v>20086</v>
      </c>
      <c r="L312" s="203">
        <f t="shared" si="146"/>
        <v>27225</v>
      </c>
      <c r="M312" s="203">
        <f t="shared" si="146"/>
        <v>20086</v>
      </c>
      <c r="N312" s="203">
        <f t="shared" si="146"/>
        <v>20086</v>
      </c>
      <c r="O312" s="10">
        <f>+Q256*11%</f>
        <v>248413</v>
      </c>
    </row>
    <row r="315" spans="1:15" ht="12" x14ac:dyDescent="0.3">
      <c r="A315" s="245" t="s">
        <v>474</v>
      </c>
      <c r="C315" s="203">
        <f>+$O$315*C262</f>
        <v>110880.00000000001</v>
      </c>
      <c r="D315" s="203">
        <f t="shared" ref="D315:N315" si="147">+$O$315*D262</f>
        <v>144144</v>
      </c>
      <c r="E315" s="203">
        <f t="shared" si="147"/>
        <v>161568</v>
      </c>
      <c r="F315" s="203">
        <f t="shared" si="147"/>
        <v>158400</v>
      </c>
      <c r="G315" s="203">
        <f t="shared" si="147"/>
        <v>120384.00000000001</v>
      </c>
      <c r="H315" s="203">
        <f t="shared" si="147"/>
        <v>68112</v>
      </c>
      <c r="I315" s="203">
        <f t="shared" si="147"/>
        <v>177408</v>
      </c>
      <c r="J315" s="203">
        <f t="shared" si="147"/>
        <v>163152</v>
      </c>
      <c r="K315" s="203">
        <f t="shared" si="147"/>
        <v>135432</v>
      </c>
      <c r="L315" s="203">
        <f t="shared" si="147"/>
        <v>115632</v>
      </c>
      <c r="M315" s="203">
        <f t="shared" si="147"/>
        <v>115632</v>
      </c>
      <c r="N315" s="203">
        <f t="shared" si="147"/>
        <v>115632</v>
      </c>
      <c r="O315" s="10">
        <f>+Q260*72%</f>
        <v>1586376</v>
      </c>
    </row>
    <row r="316" spans="1:15" ht="12" x14ac:dyDescent="0.3">
      <c r="C316" s="203">
        <f>+$O$316*C262</f>
        <v>26180.000000000004</v>
      </c>
      <c r="D316" s="203">
        <f t="shared" ref="D316:N316" si="148">+$O$316*D262</f>
        <v>34034</v>
      </c>
      <c r="E316" s="203">
        <f t="shared" si="148"/>
        <v>38148</v>
      </c>
      <c r="F316" s="203">
        <f t="shared" si="148"/>
        <v>37400</v>
      </c>
      <c r="G316" s="203">
        <f t="shared" si="148"/>
        <v>28424.000000000004</v>
      </c>
      <c r="H316" s="203">
        <f t="shared" si="148"/>
        <v>16082.000000000002</v>
      </c>
      <c r="I316" s="203">
        <f t="shared" si="148"/>
        <v>41888</v>
      </c>
      <c r="J316" s="203">
        <f t="shared" si="148"/>
        <v>38522</v>
      </c>
      <c r="K316" s="203">
        <f t="shared" si="148"/>
        <v>31977</v>
      </c>
      <c r="L316" s="203">
        <f t="shared" si="148"/>
        <v>27302</v>
      </c>
      <c r="M316" s="203">
        <f t="shared" si="148"/>
        <v>27302</v>
      </c>
      <c r="N316" s="203">
        <f t="shared" si="148"/>
        <v>27302</v>
      </c>
      <c r="O316" s="10">
        <f>+Q260*17%</f>
        <v>374561</v>
      </c>
    </row>
    <row r="317" spans="1:15" ht="12" x14ac:dyDescent="0.3">
      <c r="C317" s="203">
        <f>+$O$317*C262</f>
        <v>16940</v>
      </c>
      <c r="D317" s="203">
        <f t="shared" ref="D317:N317" si="149">+$O$317*D262</f>
        <v>22022</v>
      </c>
      <c r="E317" s="203">
        <f t="shared" si="149"/>
        <v>24684</v>
      </c>
      <c r="F317" s="203">
        <f t="shared" si="149"/>
        <v>24200</v>
      </c>
      <c r="G317" s="203">
        <f t="shared" si="149"/>
        <v>18392</v>
      </c>
      <c r="H317" s="203">
        <f t="shared" si="149"/>
        <v>10406</v>
      </c>
      <c r="I317" s="203">
        <f t="shared" si="149"/>
        <v>27104</v>
      </c>
      <c r="J317" s="203">
        <f t="shared" si="149"/>
        <v>24926</v>
      </c>
      <c r="K317" s="203">
        <f t="shared" si="149"/>
        <v>20691</v>
      </c>
      <c r="L317" s="203">
        <f t="shared" si="149"/>
        <v>17666</v>
      </c>
      <c r="M317" s="203">
        <f t="shared" si="149"/>
        <v>17666</v>
      </c>
      <c r="N317" s="203">
        <f t="shared" si="149"/>
        <v>17666</v>
      </c>
      <c r="O317" s="10">
        <f>+Q260*11%</f>
        <v>242363</v>
      </c>
    </row>
    <row r="321" spans="1:15" ht="12" x14ac:dyDescent="0.3">
      <c r="A321" s="263" t="s">
        <v>236</v>
      </c>
      <c r="C321" s="405">
        <f>+$O$321*C288</f>
        <v>133.73636095547036</v>
      </c>
      <c r="D321" s="405">
        <f t="shared" ref="D321:N321" si="150">+$O$321*D288</f>
        <v>85.591271011501036</v>
      </c>
      <c r="E321" s="405">
        <f t="shared" si="150"/>
        <v>706.12798584488348</v>
      </c>
      <c r="F321" s="405">
        <f t="shared" si="150"/>
        <v>556.34326157475675</v>
      </c>
      <c r="G321" s="405">
        <f t="shared" si="150"/>
        <v>2701.4744913005015</v>
      </c>
      <c r="H321" s="405">
        <f t="shared" si="150"/>
        <v>98.964907107048063</v>
      </c>
      <c r="I321" s="405">
        <f t="shared" si="150"/>
        <v>189.90563255676793</v>
      </c>
      <c r="J321" s="405">
        <f t="shared" si="150"/>
        <v>5.3494544382188147</v>
      </c>
      <c r="K321" s="405">
        <f t="shared" si="150"/>
        <v>279.77646711884398</v>
      </c>
      <c r="L321" s="405">
        <f t="shared" si="150"/>
        <v>149.78472427012682</v>
      </c>
      <c r="M321" s="405">
        <f t="shared" si="150"/>
        <v>267.47272191094072</v>
      </c>
      <c r="N321" s="405">
        <f t="shared" si="150"/>
        <v>267.47272191094072</v>
      </c>
      <c r="O321" s="407">
        <v>5442</v>
      </c>
    </row>
    <row r="322" spans="1:15" x14ac:dyDescent="0.25">
      <c r="C322" s="405">
        <f>+$O$322*C288</f>
        <v>3745.0113044333038</v>
      </c>
      <c r="D322" s="405">
        <f t="shared" ref="D322:N322" si="151">+$O$322*D288</f>
        <v>2396.8072348373144</v>
      </c>
      <c r="E322" s="405">
        <f t="shared" si="151"/>
        <v>19773.659687407842</v>
      </c>
      <c r="F322" s="405">
        <f t="shared" si="151"/>
        <v>15579.247026442545</v>
      </c>
      <c r="G322" s="405">
        <f t="shared" si="151"/>
        <v>75649.228349552737</v>
      </c>
      <c r="H322" s="405">
        <f t="shared" si="151"/>
        <v>2771.3083652806449</v>
      </c>
      <c r="I322" s="405">
        <f t="shared" si="151"/>
        <v>5317.9160522952916</v>
      </c>
      <c r="J322" s="405">
        <f t="shared" si="151"/>
        <v>149.80045217733215</v>
      </c>
      <c r="K322" s="405">
        <f t="shared" si="151"/>
        <v>7834.5636488744713</v>
      </c>
      <c r="L322" s="405">
        <f t="shared" si="151"/>
        <v>4194.4126609653003</v>
      </c>
      <c r="M322" s="405">
        <f t="shared" si="151"/>
        <v>7490.0226088666077</v>
      </c>
      <c r="N322" s="405">
        <f t="shared" si="151"/>
        <v>7490.0226088666077</v>
      </c>
      <c r="O322" s="407">
        <v>152392</v>
      </c>
    </row>
    <row r="323" spans="1:15" x14ac:dyDescent="0.25">
      <c r="C323" s="405">
        <f>+$O$323*C288</f>
        <v>21132.507618205054</v>
      </c>
      <c r="D323" s="405">
        <f t="shared" ref="D323:N323" si="152">+$O$323*D288</f>
        <v>13524.804875651234</v>
      </c>
      <c r="E323" s="405">
        <f t="shared" si="152"/>
        <v>111579.64022412266</v>
      </c>
      <c r="F323" s="405">
        <f t="shared" si="152"/>
        <v>87911.231691733017</v>
      </c>
      <c r="G323" s="405">
        <f t="shared" si="152"/>
        <v>426876.65388774208</v>
      </c>
      <c r="H323" s="405">
        <f t="shared" si="152"/>
        <v>15638.05563747174</v>
      </c>
      <c r="I323" s="405">
        <f t="shared" si="152"/>
        <v>30008.160817851174</v>
      </c>
      <c r="J323" s="405">
        <f t="shared" si="152"/>
        <v>845.30030472820215</v>
      </c>
      <c r="K323" s="405">
        <f t="shared" si="152"/>
        <v>44209.205937284969</v>
      </c>
      <c r="L323" s="405">
        <f t="shared" si="152"/>
        <v>23668.408532389658</v>
      </c>
      <c r="M323" s="405">
        <f t="shared" si="152"/>
        <v>42265.015236410109</v>
      </c>
      <c r="N323" s="405">
        <f t="shared" si="152"/>
        <v>42265.015236410109</v>
      </c>
      <c r="O323" s="407">
        <v>859924</v>
      </c>
    </row>
    <row r="324" spans="1:15" x14ac:dyDescent="0.25">
      <c r="C324" s="406">
        <f>+$O$324*C288</f>
        <v>1738.7447164061732</v>
      </c>
      <c r="D324" s="406">
        <f t="shared" ref="D324:N324" si="153">+$O$324*D288</f>
        <v>1112.7966184999509</v>
      </c>
      <c r="E324" s="406">
        <f t="shared" si="153"/>
        <v>9180.5721026245938</v>
      </c>
      <c r="F324" s="406">
        <f t="shared" si="153"/>
        <v>7233.1780202496811</v>
      </c>
      <c r="G324" s="406">
        <f t="shared" si="153"/>
        <v>35122.643271404697</v>
      </c>
      <c r="H324" s="406">
        <f t="shared" si="153"/>
        <v>1286.6710901405681</v>
      </c>
      <c r="I324" s="406">
        <f t="shared" si="153"/>
        <v>2469.0174972967661</v>
      </c>
      <c r="J324" s="406">
        <f t="shared" si="153"/>
        <v>69.549788656246932</v>
      </c>
      <c r="K324" s="406">
        <f t="shared" si="153"/>
        <v>3637.4539467217141</v>
      </c>
      <c r="L324" s="406">
        <f t="shared" si="153"/>
        <v>1947.394082374914</v>
      </c>
      <c r="M324" s="406">
        <f t="shared" si="153"/>
        <v>3477.4894328123464</v>
      </c>
      <c r="N324" s="406">
        <f t="shared" si="153"/>
        <v>3477.4894328123464</v>
      </c>
      <c r="O324" s="407">
        <v>70753</v>
      </c>
    </row>
    <row r="325" spans="1:15" x14ac:dyDescent="0.25">
      <c r="C325" s="405">
        <f>+$O$325*C289</f>
        <v>612.0363636363636</v>
      </c>
      <c r="D325" s="405">
        <f t="shared" ref="D325:N325" si="154">+$O$325*D289</f>
        <v>0</v>
      </c>
      <c r="E325" s="405">
        <f t="shared" si="154"/>
        <v>3060.1818181818185</v>
      </c>
      <c r="F325" s="405">
        <f t="shared" si="154"/>
        <v>6120.3636363636369</v>
      </c>
      <c r="G325" s="405">
        <f t="shared" si="154"/>
        <v>4331.3342657342655</v>
      </c>
      <c r="H325" s="405">
        <f t="shared" si="154"/>
        <v>2542.304895104895</v>
      </c>
      <c r="I325" s="405">
        <f t="shared" si="154"/>
        <v>0</v>
      </c>
      <c r="J325" s="405">
        <f t="shared" si="154"/>
        <v>0</v>
      </c>
      <c r="K325" s="405">
        <f t="shared" si="154"/>
        <v>753.27552447552443</v>
      </c>
      <c r="L325" s="405">
        <f t="shared" si="154"/>
        <v>5414.1678321678319</v>
      </c>
      <c r="M325" s="405">
        <f t="shared" si="154"/>
        <v>5414.1678321678319</v>
      </c>
      <c r="N325" s="405">
        <f t="shared" si="154"/>
        <v>5414.1678321678319</v>
      </c>
      <c r="O325" s="7">
        <v>33662</v>
      </c>
    </row>
    <row r="326" spans="1:15" x14ac:dyDescent="0.25">
      <c r="C326" s="405">
        <f>+$O$326*C289</f>
        <v>778.96363636363628</v>
      </c>
      <c r="D326" s="405">
        <f t="shared" ref="D326:N326" si="155">+$O$326*D289</f>
        <v>0</v>
      </c>
      <c r="E326" s="405">
        <f t="shared" si="155"/>
        <v>3894.818181818182</v>
      </c>
      <c r="F326" s="405">
        <f t="shared" si="155"/>
        <v>7789.636363636364</v>
      </c>
      <c r="G326" s="405">
        <f t="shared" si="155"/>
        <v>5512.6657342657336</v>
      </c>
      <c r="H326" s="405">
        <f t="shared" si="155"/>
        <v>3235.695104895105</v>
      </c>
      <c r="I326" s="405">
        <f t="shared" si="155"/>
        <v>0</v>
      </c>
      <c r="J326" s="405">
        <f t="shared" si="155"/>
        <v>0</v>
      </c>
      <c r="K326" s="405">
        <f t="shared" si="155"/>
        <v>958.72447552447557</v>
      </c>
      <c r="L326" s="405">
        <f t="shared" si="155"/>
        <v>6890.8321678321672</v>
      </c>
      <c r="M326" s="405">
        <f t="shared" si="155"/>
        <v>6890.8321678321672</v>
      </c>
      <c r="N326" s="405">
        <f t="shared" si="155"/>
        <v>6890.8321678321672</v>
      </c>
      <c r="O326" s="7">
        <v>42843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O92 O132 O214 O11 O15 O193:O194 O177:O178 O160:O162 O117:O124 O96 E75:F75 O34 C121:N121 O175 O196 O198:O202" formula="1"/>
    <ignoredError sqref="B30 O45 O10 B46 O56 O66:P66 O107:O109 O145 O189 O203:O204 O116 O151 O233 O222 O215 O184:O186 B34:N34 O35:O37 O17:O23 B178 B183 O210 O12:O13 O182 N178 O77:O79 O147:O148 O205:O207 O31:O33 O48 O133:O138 F30:N30 O62:O65 B105:B106 O125 O127:O129 B124 O143 O166:O168 O226:O227 O225 O218 O220 O40 O67 O140 O173:O174 O176 C30:E30 O91" formulaRange="1"/>
    <ignoredError sqref="O150 O219 O195 O197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130"/>
  <sheetViews>
    <sheetView tabSelected="1" topLeftCell="A10" zoomScaleNormal="100" workbookViewId="0">
      <selection activeCell="A21" sqref="A21:B21"/>
    </sheetView>
  </sheetViews>
  <sheetFormatPr baseColWidth="10" defaultRowHeight="14.5" x14ac:dyDescent="0.35"/>
  <cols>
    <col min="1" max="1" width="39.453125" customWidth="1"/>
    <col min="2" max="2" width="18.453125" style="1" bestFit="1" customWidth="1"/>
    <col min="3" max="3" width="15.81640625" bestFit="1" customWidth="1"/>
    <col min="4" max="4" width="15.54296875" bestFit="1" customWidth="1"/>
  </cols>
  <sheetData>
    <row r="1" spans="1:3" x14ac:dyDescent="0.35">
      <c r="A1" t="s">
        <v>0</v>
      </c>
    </row>
    <row r="2" spans="1:3" x14ac:dyDescent="0.35">
      <c r="A2" t="s">
        <v>829</v>
      </c>
    </row>
    <row r="4" spans="1:3" s="2" customFormat="1" x14ac:dyDescent="0.35">
      <c r="A4" s="2" t="s">
        <v>172</v>
      </c>
      <c r="B4" s="3">
        <f>+B5+B16</f>
        <v>2760882343.5690656</v>
      </c>
      <c r="C4" s="4"/>
    </row>
    <row r="5" spans="1:3" s="2" customFormat="1" x14ac:dyDescent="0.35">
      <c r="A5" s="2" t="s">
        <v>173</v>
      </c>
      <c r="B5" s="3">
        <f>SUM(B6:B14)</f>
        <v>2722747475.5830655</v>
      </c>
    </row>
    <row r="6" spans="1:3" x14ac:dyDescent="0.35">
      <c r="A6" t="s">
        <v>174</v>
      </c>
      <c r="B6" s="1">
        <f>+'PUBLICO COMPLETO'!O9</f>
        <v>220512493.18604255</v>
      </c>
    </row>
    <row r="7" spans="1:3" x14ac:dyDescent="0.35">
      <c r="A7" t="s">
        <v>177</v>
      </c>
      <c r="B7" s="1">
        <f>+'PUBLICO COMPLETO'!O13</f>
        <v>1976568764.426229</v>
      </c>
    </row>
    <row r="8" spans="1:3" x14ac:dyDescent="0.35">
      <c r="A8" t="s">
        <v>180</v>
      </c>
      <c r="B8" s="1">
        <f>+'PUBLICO COMPLETO'!O18</f>
        <v>65105535.55702991</v>
      </c>
    </row>
    <row r="9" spans="1:3" x14ac:dyDescent="0.35">
      <c r="A9" t="s">
        <v>191</v>
      </c>
      <c r="B9" s="1">
        <f>+'PUBLICO COMPLETO'!O30</f>
        <v>65687063.68</v>
      </c>
    </row>
    <row r="10" spans="1:3" x14ac:dyDescent="0.35">
      <c r="A10" t="s">
        <v>193</v>
      </c>
      <c r="B10" s="1">
        <f>+'PUBLICO COMPLETO'!O32</f>
        <v>115333666.99598719</v>
      </c>
    </row>
    <row r="11" spans="1:3" s="24" customFormat="1" x14ac:dyDescent="0.35">
      <c r="A11" s="24" t="s">
        <v>198</v>
      </c>
      <c r="B11" s="25">
        <f>+'PUBLICO COMPLETO'!O37</f>
        <v>19536</v>
      </c>
    </row>
    <row r="12" spans="1:3" x14ac:dyDescent="0.35">
      <c r="A12" t="s">
        <v>200</v>
      </c>
      <c r="B12" s="1">
        <f>+'PUBLICO COMPLETO'!O39</f>
        <v>63863957.737777203</v>
      </c>
    </row>
    <row r="13" spans="1:3" x14ac:dyDescent="0.35">
      <c r="A13" t="s">
        <v>205</v>
      </c>
      <c r="B13" s="1">
        <f>+'PUBLICO COMPLETO'!O44</f>
        <v>203116458</v>
      </c>
    </row>
    <row r="14" spans="1:3" x14ac:dyDescent="0.35">
      <c r="A14" t="s">
        <v>913</v>
      </c>
      <c r="B14" s="1">
        <f>+'PUBLICO COMPLETO'!O51</f>
        <v>12540000</v>
      </c>
    </row>
    <row r="16" spans="1:3" s="2" customFormat="1" x14ac:dyDescent="0.35">
      <c r="A16" s="2" t="s">
        <v>209</v>
      </c>
      <c r="B16" s="3">
        <f>SUM(B17:B19)</f>
        <v>38134867.986000001</v>
      </c>
    </row>
    <row r="17" spans="1:4" x14ac:dyDescent="0.35">
      <c r="A17" t="s">
        <v>210</v>
      </c>
      <c r="B17" s="1">
        <f>+'PUBLICO COMPLETO'!O56</f>
        <v>25008867.986000005</v>
      </c>
    </row>
    <row r="18" spans="1:4" x14ac:dyDescent="0.35">
      <c r="A18" t="s">
        <v>287</v>
      </c>
      <c r="B18" s="1">
        <f>+'PUBLICO COMPLETO'!O57</f>
        <v>3126000</v>
      </c>
    </row>
    <row r="19" spans="1:4" x14ac:dyDescent="0.35">
      <c r="A19" t="s">
        <v>411</v>
      </c>
      <c r="B19" s="1">
        <f>+'PUBLICO COMPLETO'!O59</f>
        <v>10000000</v>
      </c>
    </row>
    <row r="21" spans="1:4" s="2" customFormat="1" ht="15.5" x14ac:dyDescent="0.35">
      <c r="A21" s="429" t="s">
        <v>112</v>
      </c>
      <c r="B21" s="430">
        <f>+B22+B121</f>
        <v>2638671560.4356909</v>
      </c>
      <c r="C21" s="4">
        <f>+B21-'PUBLICO COMPLETO'!O64</f>
        <v>0</v>
      </c>
    </row>
    <row r="22" spans="1:4" s="2" customFormat="1" x14ac:dyDescent="0.35">
      <c r="A22" s="2" t="s">
        <v>113</v>
      </c>
      <c r="B22" s="4">
        <f>+B23+B42+B46+B51+B58+B68+B70+B83+B86+B93+B99+B107+B111</f>
        <v>2621331560.4356909</v>
      </c>
    </row>
    <row r="23" spans="1:4" s="2" customFormat="1" x14ac:dyDescent="0.35">
      <c r="A23" s="2" t="s">
        <v>126</v>
      </c>
      <c r="B23" s="3">
        <f>SUM(B24:B40)</f>
        <v>1465989800</v>
      </c>
      <c r="D23" s="4">
        <f>+B21-B23-B121</f>
        <v>1155341760.4356909</v>
      </c>
    </row>
    <row r="24" spans="1:4" x14ac:dyDescent="0.35">
      <c r="A24" t="s">
        <v>93</v>
      </c>
      <c r="B24" s="1">
        <f>+'PUBLICO COMPLETO'!O67</f>
        <v>874176000</v>
      </c>
    </row>
    <row r="25" spans="1:4" x14ac:dyDescent="0.35">
      <c r="A25" t="s">
        <v>95</v>
      </c>
      <c r="B25" s="1">
        <f>+'PUBLICO COMPLETO'!O68</f>
        <v>20064000</v>
      </c>
    </row>
    <row r="26" spans="1:4" x14ac:dyDescent="0.35">
      <c r="A26" t="s">
        <v>96</v>
      </c>
      <c r="B26" s="1">
        <f>+'PUBLICO COMPLETO'!O69</f>
        <v>74520000</v>
      </c>
    </row>
    <row r="27" spans="1:4" x14ac:dyDescent="0.35">
      <c r="A27" t="s">
        <v>97</v>
      </c>
      <c r="B27" s="1">
        <f>+'PUBLICO COMPLETO'!O70</f>
        <v>8964000</v>
      </c>
    </row>
    <row r="28" spans="1:4" x14ac:dyDescent="0.35">
      <c r="A28" t="s">
        <v>98</v>
      </c>
      <c r="B28" s="1">
        <f>+'PUBLICO COMPLETO'!O71</f>
        <v>74520000</v>
      </c>
    </row>
    <row r="29" spans="1:4" x14ac:dyDescent="0.35">
      <c r="A29" t="s">
        <v>99</v>
      </c>
      <c r="B29" s="1">
        <f>+'PUBLICO COMPLETO'!O72</f>
        <v>54672000</v>
      </c>
    </row>
    <row r="30" spans="1:4" x14ac:dyDescent="0.35">
      <c r="A30" t="s">
        <v>282</v>
      </c>
      <c r="B30" s="1">
        <f>+'PUBLICO COMPLETO'!O73</f>
        <v>29686000</v>
      </c>
    </row>
    <row r="31" spans="1:4" x14ac:dyDescent="0.35">
      <c r="A31" t="s">
        <v>550</v>
      </c>
      <c r="B31" s="1">
        <f>+'PUBLICO COMPLETO'!O74</f>
        <v>30000000</v>
      </c>
    </row>
    <row r="32" spans="1:4" x14ac:dyDescent="0.35">
      <c r="A32" t="s">
        <v>101</v>
      </c>
      <c r="B32" s="1">
        <f>+'PUBLICO COMPLETO'!O75</f>
        <v>15898000</v>
      </c>
    </row>
    <row r="33" spans="1:2" x14ac:dyDescent="0.35">
      <c r="A33" t="s">
        <v>103</v>
      </c>
      <c r="B33" s="1">
        <f>+'PUBLICO COMPLETO'!O76</f>
        <v>18800000</v>
      </c>
    </row>
    <row r="34" spans="1:2" x14ac:dyDescent="0.35">
      <c r="A34" t="s">
        <v>104</v>
      </c>
      <c r="B34" s="1">
        <f>+'PUBLICO COMPLETO'!O77</f>
        <v>6024000</v>
      </c>
    </row>
    <row r="35" spans="1:2" x14ac:dyDescent="0.35">
      <c r="A35" t="s">
        <v>105</v>
      </c>
      <c r="B35" s="1">
        <f>+'PUBLICO COMPLETO'!O78</f>
        <v>74304000</v>
      </c>
    </row>
    <row r="36" spans="1:2" x14ac:dyDescent="0.35">
      <c r="A36" t="s">
        <v>106</v>
      </c>
      <c r="B36" s="1">
        <f>+'PUBLICO COMPLETO'!O79</f>
        <v>104880000</v>
      </c>
    </row>
    <row r="37" spans="1:2" x14ac:dyDescent="0.35">
      <c r="A37" t="s">
        <v>107</v>
      </c>
      <c r="B37" s="1">
        <f>+'PUBLICO COMPLETO'!O80</f>
        <v>34908000</v>
      </c>
    </row>
    <row r="38" spans="1:2" x14ac:dyDescent="0.35">
      <c r="A38" t="s">
        <v>108</v>
      </c>
      <c r="B38" s="1">
        <f>+'PUBLICO COMPLETO'!O81</f>
        <v>26244000</v>
      </c>
    </row>
    <row r="39" spans="1:2" x14ac:dyDescent="0.35">
      <c r="A39" t="s">
        <v>109</v>
      </c>
      <c r="B39" s="1">
        <f>+'PUBLICO COMPLETO'!O82</f>
        <v>17496000</v>
      </c>
    </row>
    <row r="40" spans="1:2" x14ac:dyDescent="0.35">
      <c r="A40" t="s">
        <v>111</v>
      </c>
      <c r="B40" s="1">
        <f>+'PUBLICO COMPLETO'!O84</f>
        <v>833800</v>
      </c>
    </row>
    <row r="42" spans="1:2" s="2" customFormat="1" x14ac:dyDescent="0.35">
      <c r="A42" s="2" t="s">
        <v>1</v>
      </c>
      <c r="B42" s="3">
        <f>SUM(B43:B44)</f>
        <v>151934000</v>
      </c>
    </row>
    <row r="43" spans="1:2" x14ac:dyDescent="0.35">
      <c r="A43" t="s">
        <v>2</v>
      </c>
      <c r="B43" s="1">
        <f>+'PUBLICO COMPLETO'!O86</f>
        <v>21184000</v>
      </c>
    </row>
    <row r="44" spans="1:2" x14ac:dyDescent="0.35">
      <c r="A44" t="s">
        <v>251</v>
      </c>
      <c r="B44" s="1">
        <f>+'PUBLICO COMPLETO'!O85-'CTAS MAYORES PUBLICO'!B43</f>
        <v>130750000</v>
      </c>
    </row>
    <row r="46" spans="1:2" s="2" customFormat="1" x14ac:dyDescent="0.35">
      <c r="A46" s="2" t="s">
        <v>5</v>
      </c>
      <c r="B46" s="3">
        <f>SUM(B47:B49)</f>
        <v>81572000</v>
      </c>
    </row>
    <row r="47" spans="1:2" x14ac:dyDescent="0.35">
      <c r="A47" t="s">
        <v>6</v>
      </c>
      <c r="B47" s="1">
        <f>+'PUBLICO COMPLETO'!O108</f>
        <v>9455000</v>
      </c>
    </row>
    <row r="48" spans="1:2" x14ac:dyDescent="0.35">
      <c r="A48" t="s">
        <v>492</v>
      </c>
      <c r="B48" s="1">
        <f>+'PUBLICO COMPLETO'!O109</f>
        <v>2088000</v>
      </c>
    </row>
    <row r="49" spans="1:2" x14ac:dyDescent="0.35">
      <c r="A49" t="s">
        <v>252</v>
      </c>
      <c r="B49" s="1">
        <f>+'PUBLICO COMPLETO'!O110</f>
        <v>70029000</v>
      </c>
    </row>
    <row r="51" spans="1:2" s="2" customFormat="1" x14ac:dyDescent="0.35">
      <c r="A51" s="2" t="s">
        <v>7</v>
      </c>
      <c r="B51" s="3">
        <f>SUM(B52:B55)</f>
        <v>112393000</v>
      </c>
    </row>
    <row r="52" spans="1:2" x14ac:dyDescent="0.35">
      <c r="A52" t="s">
        <v>8</v>
      </c>
      <c r="B52" s="1">
        <f>+'PUBLICO COMPLETO'!O115</f>
        <v>28218000</v>
      </c>
    </row>
    <row r="53" spans="1:2" x14ac:dyDescent="0.35">
      <c r="A53" t="s">
        <v>11</v>
      </c>
      <c r="B53" s="1">
        <f>+'PUBLICO COMPLETO'!O121</f>
        <v>65140000</v>
      </c>
    </row>
    <row r="54" spans="1:2" x14ac:dyDescent="0.35">
      <c r="A54" t="s">
        <v>824</v>
      </c>
      <c r="B54" s="1">
        <f>+'PUBLICO COMPLETO'!O126</f>
        <v>18826999.999999996</v>
      </c>
    </row>
    <row r="55" spans="1:2" x14ac:dyDescent="0.35">
      <c r="A55" t="s">
        <v>12</v>
      </c>
      <c r="B55" s="1">
        <f>+'PUBLICO COMPLETO'!O133</f>
        <v>207999.99999999997</v>
      </c>
    </row>
    <row r="58" spans="1:2" s="2" customFormat="1" x14ac:dyDescent="0.35">
      <c r="A58" s="2" t="s">
        <v>114</v>
      </c>
      <c r="B58" s="4">
        <f>+B59+B64</f>
        <v>126541823.43569066</v>
      </c>
    </row>
    <row r="59" spans="1:2" x14ac:dyDescent="0.35">
      <c r="A59" t="s">
        <v>115</v>
      </c>
      <c r="B59" s="1">
        <f>SUM(B60:B63)</f>
        <v>114136823.43569066</v>
      </c>
    </row>
    <row r="60" spans="1:2" x14ac:dyDescent="0.35">
      <c r="A60" t="s">
        <v>117</v>
      </c>
      <c r="B60" s="1">
        <f>+'PUBLICO COMPLETO'!O136</f>
        <v>27608823.435690656</v>
      </c>
    </row>
    <row r="61" spans="1:2" x14ac:dyDescent="0.35">
      <c r="A61" t="s">
        <v>118</v>
      </c>
      <c r="B61" s="1">
        <f>+'PUBLICO COMPLETO'!O137</f>
        <v>56728000</v>
      </c>
    </row>
    <row r="62" spans="1:2" x14ac:dyDescent="0.35">
      <c r="A62" t="s">
        <v>123</v>
      </c>
      <c r="B62" s="1">
        <f>+'PUBLICO COMPLETO'!O147</f>
        <v>2583000</v>
      </c>
    </row>
    <row r="63" spans="1:2" x14ac:dyDescent="0.35">
      <c r="A63" t="s">
        <v>491</v>
      </c>
      <c r="B63" s="1">
        <f>+'PUBLICO COMPLETO'!O148+'PUBLICO COMPLETO'!O149+'PUBLICO COMPLETO'!O150+'PUBLICO COMPLETO'!O151</f>
        <v>27217000</v>
      </c>
    </row>
    <row r="64" spans="1:2" x14ac:dyDescent="0.35">
      <c r="A64" t="s">
        <v>116</v>
      </c>
      <c r="B64" s="1">
        <f>SUM(B65:B67)</f>
        <v>12405000</v>
      </c>
    </row>
    <row r="65" spans="1:3" x14ac:dyDescent="0.35">
      <c r="A65" t="s">
        <v>120</v>
      </c>
      <c r="B65" s="1">
        <f>+'PUBLICO COMPLETO'!O153</f>
        <v>8172000</v>
      </c>
    </row>
    <row r="66" spans="1:3" x14ac:dyDescent="0.35">
      <c r="A66" t="s">
        <v>490</v>
      </c>
      <c r="B66" s="1">
        <f>+'PUBLICO COMPLETO'!O154</f>
        <v>3660000</v>
      </c>
    </row>
    <row r="67" spans="1:3" x14ac:dyDescent="0.35">
      <c r="A67" t="s">
        <v>216</v>
      </c>
      <c r="B67" s="1">
        <f>+'PUBLICO COMPLETO'!O155</f>
        <v>573000</v>
      </c>
    </row>
    <row r="68" spans="1:3" s="2" customFormat="1" x14ac:dyDescent="0.35">
      <c r="A68" s="2" t="s">
        <v>13</v>
      </c>
      <c r="B68" s="3">
        <f>+'PUBLICO COMPLETO'!O156</f>
        <v>18488000</v>
      </c>
    </row>
    <row r="69" spans="1:3" s="2" customFormat="1" x14ac:dyDescent="0.35">
      <c r="B69" s="3"/>
    </row>
    <row r="70" spans="1:3" s="2" customFormat="1" x14ac:dyDescent="0.35">
      <c r="A70" s="2" t="s">
        <v>22</v>
      </c>
      <c r="B70" s="3">
        <f>SUM(B71:B79)</f>
        <v>271826000</v>
      </c>
      <c r="C70" s="4"/>
    </row>
    <row r="71" spans="1:3" x14ac:dyDescent="0.35">
      <c r="A71" t="s">
        <v>23</v>
      </c>
      <c r="B71" s="1">
        <f>+'PUBLICO COMPLETO'!O170</f>
        <v>31172000</v>
      </c>
    </row>
    <row r="72" spans="1:3" x14ac:dyDescent="0.35">
      <c r="A72" s="24" t="s">
        <v>24</v>
      </c>
      <c r="B72" s="1">
        <f>+'PUBLICO COMPLETO'!O177</f>
        <v>2340000</v>
      </c>
    </row>
    <row r="73" spans="1:3" x14ac:dyDescent="0.35">
      <c r="A73" t="s">
        <v>25</v>
      </c>
      <c r="B73" s="1">
        <f>+'PUBLICO COMPLETO'!O178</f>
        <v>2088000</v>
      </c>
    </row>
    <row r="74" spans="1:3" x14ac:dyDescent="0.35">
      <c r="A74" t="s">
        <v>26</v>
      </c>
      <c r="B74" s="1">
        <f>+'PUBLICO COMPLETO'!O182</f>
        <v>45096000</v>
      </c>
    </row>
    <row r="75" spans="1:3" x14ac:dyDescent="0.35">
      <c r="A75" t="s">
        <v>27</v>
      </c>
      <c r="B75" s="1">
        <f>+'PUBLICO COMPLETO'!O186</f>
        <v>54300000</v>
      </c>
    </row>
    <row r="76" spans="1:3" x14ac:dyDescent="0.35">
      <c r="A76" t="s">
        <v>28</v>
      </c>
      <c r="B76" s="1">
        <f>+'PUBLICO COMPLETO'!O201</f>
        <v>12534000</v>
      </c>
    </row>
    <row r="77" spans="1:3" x14ac:dyDescent="0.35">
      <c r="A77" t="s">
        <v>759</v>
      </c>
      <c r="B77" s="1">
        <f>+'PUBLICO COMPLETO'!O207</f>
        <v>544000</v>
      </c>
    </row>
    <row r="78" spans="1:3" x14ac:dyDescent="0.35">
      <c r="A78" t="s">
        <v>288</v>
      </c>
      <c r="B78" s="1">
        <f>+'PUBLICO COMPLETO'!O209</f>
        <v>44344000</v>
      </c>
    </row>
    <row r="79" spans="1:3" s="24" customFormat="1" x14ac:dyDescent="0.35">
      <c r="A79" s="24" t="s">
        <v>220</v>
      </c>
      <c r="B79" s="25">
        <f>+'PUBLICO COMPLETO'!O232</f>
        <v>79408000</v>
      </c>
    </row>
    <row r="80" spans="1:3" hidden="1" x14ac:dyDescent="0.35">
      <c r="A80" t="s">
        <v>229</v>
      </c>
      <c r="B80" s="1">
        <v>15409000</v>
      </c>
    </row>
    <row r="81" spans="1:2" hidden="1" x14ac:dyDescent="0.35">
      <c r="A81" t="s">
        <v>230</v>
      </c>
      <c r="B81" s="1">
        <v>50000</v>
      </c>
    </row>
    <row r="83" spans="1:2" s="2" customFormat="1" x14ac:dyDescent="0.35">
      <c r="A83" s="2" t="s">
        <v>48</v>
      </c>
      <c r="B83" s="3">
        <f>+B84</f>
        <v>86000</v>
      </c>
    </row>
    <row r="84" spans="1:2" x14ac:dyDescent="0.35">
      <c r="A84" t="s">
        <v>49</v>
      </c>
      <c r="B84" s="1">
        <f>+'PUBLICO COMPLETO'!O275</f>
        <v>86000</v>
      </c>
    </row>
    <row r="86" spans="1:2" s="2" customFormat="1" x14ac:dyDescent="0.35">
      <c r="A86" s="2" t="s">
        <v>50</v>
      </c>
      <c r="B86" s="3">
        <f>SUM(B87:B91)</f>
        <v>73696937</v>
      </c>
    </row>
    <row r="87" spans="1:2" x14ac:dyDescent="0.35">
      <c r="A87" t="s">
        <v>51</v>
      </c>
      <c r="B87" s="1">
        <f>+'PUBLICO COMPLETO'!O278</f>
        <v>24832140</v>
      </c>
    </row>
    <row r="88" spans="1:2" x14ac:dyDescent="0.35">
      <c r="A88" t="s">
        <v>253</v>
      </c>
      <c r="B88" s="1">
        <f>+'PUBLICO COMPLETO'!O289</f>
        <v>2564000</v>
      </c>
    </row>
    <row r="89" spans="1:2" x14ac:dyDescent="0.35">
      <c r="A89" t="s">
        <v>53</v>
      </c>
      <c r="B89" s="1">
        <f>+'PUBLICO COMPLETO'!O292</f>
        <v>16254000</v>
      </c>
    </row>
    <row r="90" spans="1:2" x14ac:dyDescent="0.35">
      <c r="A90" t="s">
        <v>55</v>
      </c>
      <c r="B90" s="1">
        <f>+'PUBLICO COMPLETO'!O301</f>
        <v>24055797</v>
      </c>
    </row>
    <row r="91" spans="1:2" x14ac:dyDescent="0.35">
      <c r="A91" t="s">
        <v>56</v>
      </c>
      <c r="B91" s="1">
        <f>+'PUBLICO COMPLETO'!O313</f>
        <v>5991000</v>
      </c>
    </row>
    <row r="93" spans="1:2" s="2" customFormat="1" x14ac:dyDescent="0.35">
      <c r="A93" s="2" t="s">
        <v>57</v>
      </c>
      <c r="B93" s="3">
        <f>SUM(B94:B97)</f>
        <v>100931000</v>
      </c>
    </row>
    <row r="94" spans="1:2" x14ac:dyDescent="0.35">
      <c r="A94" t="s">
        <v>59</v>
      </c>
      <c r="B94" s="1">
        <f>+'PUBLICO COMPLETO'!O316</f>
        <v>26056000</v>
      </c>
    </row>
    <row r="95" spans="1:2" x14ac:dyDescent="0.35">
      <c r="A95" t="s">
        <v>61</v>
      </c>
      <c r="B95" s="1">
        <f>+'PUBLICO COMPLETO'!O329</f>
        <v>23308000</v>
      </c>
    </row>
    <row r="96" spans="1:2" x14ac:dyDescent="0.35">
      <c r="A96" t="s">
        <v>228</v>
      </c>
      <c r="B96" s="1">
        <f>+'PUBLICO COMPLETO'!O344</f>
        <v>1582000</v>
      </c>
    </row>
    <row r="97" spans="1:2" x14ac:dyDescent="0.35">
      <c r="A97" t="s">
        <v>64</v>
      </c>
      <c r="B97" s="1">
        <f>+'PUBLICO COMPLETO'!O348</f>
        <v>49985000</v>
      </c>
    </row>
    <row r="99" spans="1:2" s="2" customFormat="1" x14ac:dyDescent="0.35">
      <c r="A99" s="2" t="s">
        <v>58</v>
      </c>
      <c r="B99" s="3">
        <f>SUM(B100:B104)</f>
        <v>90408000</v>
      </c>
    </row>
    <row r="100" spans="1:2" x14ac:dyDescent="0.35">
      <c r="A100" t="s">
        <v>51</v>
      </c>
      <c r="B100" s="1">
        <f>+'PUBLICO COMPLETO'!O364</f>
        <v>24000000</v>
      </c>
    </row>
    <row r="101" spans="1:2" x14ac:dyDescent="0.35">
      <c r="A101" t="s">
        <v>254</v>
      </c>
      <c r="B101" s="1">
        <f>+'PUBLICO COMPLETO'!O365</f>
        <v>5208000</v>
      </c>
    </row>
    <row r="102" spans="1:2" x14ac:dyDescent="0.35">
      <c r="A102" t="s">
        <v>53</v>
      </c>
      <c r="B102" s="1">
        <f>+'PUBLICO COMPLETO'!O366</f>
        <v>22800000</v>
      </c>
    </row>
    <row r="103" spans="1:2" x14ac:dyDescent="0.35">
      <c r="A103" t="s">
        <v>405</v>
      </c>
      <c r="B103" s="1">
        <f>+'PUBLICO COMPLETO'!O367</f>
        <v>21600000</v>
      </c>
    </row>
    <row r="104" spans="1:2" x14ac:dyDescent="0.35">
      <c r="A104" t="s">
        <v>66</v>
      </c>
      <c r="B104" s="1">
        <f>+'PUBLICO COMPLETO'!O368</f>
        <v>16800000</v>
      </c>
    </row>
    <row r="107" spans="1:2" s="2" customFormat="1" x14ac:dyDescent="0.35">
      <c r="A107" s="2" t="s">
        <v>67</v>
      </c>
      <c r="B107" s="3">
        <f>SUM(B108:B109)</f>
        <v>24986000</v>
      </c>
    </row>
    <row r="108" spans="1:2" x14ac:dyDescent="0.35">
      <c r="A108" t="s">
        <v>68</v>
      </c>
      <c r="B108" s="1">
        <f>+'PUBLICO COMPLETO'!O370</f>
        <v>24986000</v>
      </c>
    </row>
    <row r="109" spans="1:2" x14ac:dyDescent="0.35">
      <c r="A109" t="s">
        <v>69</v>
      </c>
      <c r="B109" s="1">
        <v>0</v>
      </c>
    </row>
    <row r="111" spans="1:2" s="2" customFormat="1" x14ac:dyDescent="0.35">
      <c r="A111" s="2" t="s">
        <v>71</v>
      </c>
      <c r="B111" s="3">
        <f>SUM(B112:B119)</f>
        <v>102479000</v>
      </c>
    </row>
    <row r="112" spans="1:2" x14ac:dyDescent="0.35">
      <c r="A112" t="s">
        <v>72</v>
      </c>
      <c r="B112" s="1">
        <f>+'PUBLICO COMPLETO'!O380</f>
        <v>1934000</v>
      </c>
    </row>
    <row r="113" spans="1:2" x14ac:dyDescent="0.35">
      <c r="A113" t="s">
        <v>73</v>
      </c>
      <c r="B113" s="1">
        <f>+'PUBLICO COMPLETO'!O385</f>
        <v>11304000</v>
      </c>
    </row>
    <row r="114" spans="1:2" x14ac:dyDescent="0.35">
      <c r="A114" t="s">
        <v>76</v>
      </c>
      <c r="B114" s="1">
        <f>+'PUBLICO COMPLETO'!O388</f>
        <v>28080000</v>
      </c>
    </row>
    <row r="115" spans="1:2" x14ac:dyDescent="0.35">
      <c r="A115" t="s">
        <v>79</v>
      </c>
      <c r="B115" s="1">
        <f>+'PUBLICO COMPLETO'!O392</f>
        <v>6900000</v>
      </c>
    </row>
    <row r="116" spans="1:2" x14ac:dyDescent="0.35">
      <c r="A116" t="s">
        <v>80</v>
      </c>
      <c r="B116" s="1">
        <f>+'PUBLICO COMPLETO'!O397</f>
        <v>420000</v>
      </c>
    </row>
    <row r="117" spans="1:2" x14ac:dyDescent="0.35">
      <c r="A117" t="s">
        <v>81</v>
      </c>
      <c r="B117" s="1">
        <f>+'PUBLICO COMPLETO'!O398</f>
        <v>23961000</v>
      </c>
    </row>
    <row r="118" spans="1:2" x14ac:dyDescent="0.35">
      <c r="A118" t="s">
        <v>82</v>
      </c>
      <c r="B118" s="1">
        <f>+'PUBLICO COMPLETO'!O423</f>
        <v>600000</v>
      </c>
    </row>
    <row r="119" spans="1:2" x14ac:dyDescent="0.35">
      <c r="A119" t="s">
        <v>3</v>
      </c>
      <c r="B119" s="1">
        <f>+'PUBLICO COMPLETO'!O424</f>
        <v>29280000</v>
      </c>
    </row>
    <row r="121" spans="1:2" s="2" customFormat="1" x14ac:dyDescent="0.35">
      <c r="A121" s="2" t="s">
        <v>87</v>
      </c>
      <c r="B121" s="3">
        <f>+B122+B127</f>
        <v>17340000</v>
      </c>
    </row>
    <row r="122" spans="1:2" s="2" customFormat="1" x14ac:dyDescent="0.35">
      <c r="A122" s="2" t="s">
        <v>88</v>
      </c>
      <c r="B122" s="3">
        <f>SUM(B123:B126)</f>
        <v>17136000</v>
      </c>
    </row>
    <row r="123" spans="1:2" x14ac:dyDescent="0.35">
      <c r="A123" t="s">
        <v>89</v>
      </c>
      <c r="B123" s="1">
        <f>+'PUBLICO COMPLETO'!O444</f>
        <v>7608000</v>
      </c>
    </row>
    <row r="124" spans="1:2" x14ac:dyDescent="0.35">
      <c r="A124" t="s">
        <v>90</v>
      </c>
      <c r="B124" s="1">
        <f>+'PUBLICO COMPLETO'!O445</f>
        <v>924000</v>
      </c>
    </row>
    <row r="125" spans="1:2" x14ac:dyDescent="0.35">
      <c r="A125" t="s">
        <v>255</v>
      </c>
      <c r="B125" s="1">
        <f>+'PUBLICO COMPLETO'!O446</f>
        <v>8604000</v>
      </c>
    </row>
    <row r="126" spans="1:2" x14ac:dyDescent="0.35">
      <c r="A126" t="s">
        <v>122</v>
      </c>
      <c r="B126" s="1">
        <f>+'PUBLICO COMPLETO'!O447</f>
        <v>0</v>
      </c>
    </row>
    <row r="127" spans="1:2" x14ac:dyDescent="0.35">
      <c r="A127" t="s">
        <v>291</v>
      </c>
      <c r="B127" s="1">
        <f>+'PUBLICO COMPLETO'!O448</f>
        <v>204000</v>
      </c>
    </row>
    <row r="129" spans="1:2" x14ac:dyDescent="0.35">
      <c r="A129" t="s">
        <v>92</v>
      </c>
    </row>
    <row r="130" spans="1:2" s="2" customFormat="1" x14ac:dyDescent="0.35">
      <c r="A130" s="2" t="s">
        <v>171</v>
      </c>
      <c r="B130" s="3">
        <f>+B4-B21</f>
        <v>122210783.13337469</v>
      </c>
    </row>
  </sheetData>
  <pageMargins left="0.7" right="0.7" top="0.75" bottom="0.75" header="0.3" footer="0.3"/>
  <pageSetup orientation="portrait" r:id="rId1"/>
  <ignoredErrors>
    <ignoredError sqref="B21:B2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131"/>
  <sheetViews>
    <sheetView topLeftCell="A7" workbookViewId="0">
      <selection activeCell="B147" sqref="B147"/>
    </sheetView>
  </sheetViews>
  <sheetFormatPr baseColWidth="10" defaultRowHeight="14.5" x14ac:dyDescent="0.35"/>
  <cols>
    <col min="1" max="1" width="44.81640625" bestFit="1" customWidth="1"/>
    <col min="2" max="2" width="16.7265625" style="1" bestFit="1" customWidth="1"/>
    <col min="3" max="3" width="13" bestFit="1" customWidth="1"/>
  </cols>
  <sheetData>
    <row r="1" spans="1:2" x14ac:dyDescent="0.35">
      <c r="A1" t="s">
        <v>0</v>
      </c>
    </row>
    <row r="3" spans="1:2" x14ac:dyDescent="0.35">
      <c r="A3" t="s">
        <v>672</v>
      </c>
    </row>
    <row r="6" spans="1:2" s="2" customFormat="1" x14ac:dyDescent="0.35">
      <c r="A6" s="2" t="s">
        <v>136</v>
      </c>
      <c r="B6" s="3">
        <f>+B7+B13</f>
        <v>416139348.19999999</v>
      </c>
    </row>
    <row r="7" spans="1:2" s="2" customFormat="1" x14ac:dyDescent="0.35">
      <c r="A7" s="2" t="s">
        <v>137</v>
      </c>
      <c r="B7" s="3">
        <f>SUM(B8:B11)</f>
        <v>191961600</v>
      </c>
    </row>
    <row r="8" spans="1:2" x14ac:dyDescent="0.35">
      <c r="A8" t="s">
        <v>138</v>
      </c>
      <c r="B8" s="1">
        <f>+'PRIVADO COMPLETO'!O9</f>
        <v>67000000</v>
      </c>
    </row>
    <row r="9" spans="1:2" x14ac:dyDescent="0.35">
      <c r="A9" t="s">
        <v>139</v>
      </c>
      <c r="B9" s="1">
        <f>+'PRIVADO COMPLETO'!O10</f>
        <v>65500000</v>
      </c>
    </row>
    <row r="10" spans="1:2" x14ac:dyDescent="0.35">
      <c r="A10" t="s">
        <v>140</v>
      </c>
      <c r="B10" s="1">
        <f>+'PRIVADO COMPLETO'!O11</f>
        <v>0</v>
      </c>
    </row>
    <row r="11" spans="1:2" x14ac:dyDescent="0.35">
      <c r="A11" t="s">
        <v>143</v>
      </c>
      <c r="B11" s="1">
        <f>+'PRIVADO COMPLETO'!O15</f>
        <v>59461600</v>
      </c>
    </row>
    <row r="13" spans="1:2" s="2" customFormat="1" x14ac:dyDescent="0.35">
      <c r="A13" s="2" t="s">
        <v>148</v>
      </c>
      <c r="B13" s="3">
        <f>+B14+B17+B23+B26</f>
        <v>224177748.19999999</v>
      </c>
    </row>
    <row r="14" spans="1:2" s="2" customFormat="1" x14ac:dyDescent="0.35">
      <c r="A14" s="2" t="s">
        <v>88</v>
      </c>
      <c r="B14" s="3">
        <f>+B15</f>
        <v>955748.19999999984</v>
      </c>
    </row>
    <row r="15" spans="1:2" x14ac:dyDescent="0.35">
      <c r="A15" t="s">
        <v>149</v>
      </c>
      <c r="B15" s="1">
        <f>+'PRIVADO COMPLETO'!O27</f>
        <v>955748.19999999984</v>
      </c>
    </row>
    <row r="17" spans="1:2" s="2" customFormat="1" x14ac:dyDescent="0.35">
      <c r="A17" s="2" t="s">
        <v>7</v>
      </c>
      <c r="B17" s="3">
        <f>SUM(B18:B21)</f>
        <v>192096000</v>
      </c>
    </row>
    <row r="18" spans="1:2" x14ac:dyDescent="0.35">
      <c r="A18" t="s">
        <v>150</v>
      </c>
      <c r="B18" s="1">
        <f>+'PRIVADO COMPLETO'!O30</f>
        <v>87096000</v>
      </c>
    </row>
    <row r="19" spans="1:2" x14ac:dyDescent="0.35">
      <c r="A19" t="s">
        <v>151</v>
      </c>
      <c r="B19" s="1">
        <f>+'PRIVADO COMPLETO'!O33</f>
        <v>94000000</v>
      </c>
    </row>
    <row r="20" spans="1:2" x14ac:dyDescent="0.35">
      <c r="A20" t="s">
        <v>152</v>
      </c>
      <c r="B20" s="1">
        <f>+'PRIVADO COMPLETO'!O34</f>
        <v>11000000</v>
      </c>
    </row>
    <row r="21" spans="1:2" x14ac:dyDescent="0.35">
      <c r="A21" t="s">
        <v>154</v>
      </c>
      <c r="B21" s="1">
        <f>+'PRIVADO COMPLETO'!O37</f>
        <v>0</v>
      </c>
    </row>
    <row r="23" spans="1:2" s="2" customFormat="1" x14ac:dyDescent="0.35">
      <c r="A23" s="2" t="s">
        <v>22</v>
      </c>
      <c r="B23" s="3">
        <f>+B24</f>
        <v>26850000</v>
      </c>
    </row>
    <row r="24" spans="1:2" x14ac:dyDescent="0.35">
      <c r="A24" t="s">
        <v>155</v>
      </c>
      <c r="B24" s="1">
        <f>+'PRIVADO COMPLETO'!O40</f>
        <v>26850000</v>
      </c>
    </row>
    <row r="26" spans="1:2" s="2" customFormat="1" x14ac:dyDescent="0.35">
      <c r="A26" s="2" t="s">
        <v>71</v>
      </c>
      <c r="B26" s="3">
        <f>SUM(B27:B28)</f>
        <v>4276000</v>
      </c>
    </row>
    <row r="27" spans="1:2" x14ac:dyDescent="0.35">
      <c r="A27" t="s">
        <v>156</v>
      </c>
      <c r="B27" s="1">
        <f>+'PRIVADO COMPLETO'!O45</f>
        <v>276000</v>
      </c>
    </row>
    <row r="28" spans="1:2" x14ac:dyDescent="0.35">
      <c r="A28" t="s">
        <v>157</v>
      </c>
      <c r="B28" s="1">
        <f>+'PRIVADO COMPLETO'!O46</f>
        <v>4000000</v>
      </c>
    </row>
    <row r="31" spans="1:2" s="2" customFormat="1" x14ac:dyDescent="0.35">
      <c r="A31" s="2" t="s">
        <v>112</v>
      </c>
      <c r="B31" s="3">
        <f>+B32+B124</f>
        <v>400939409.48199999</v>
      </c>
    </row>
    <row r="32" spans="1:2" s="2" customFormat="1" x14ac:dyDescent="0.35">
      <c r="A32" s="2" t="s">
        <v>113</v>
      </c>
      <c r="B32" s="3">
        <f>+B33+B57+B65+B70+B75+B84+B86+B96+B100+B106+B114+B111</f>
        <v>370622409.48199999</v>
      </c>
    </row>
    <row r="33" spans="1:3" s="2" customFormat="1" x14ac:dyDescent="0.35">
      <c r="A33" s="2" t="s">
        <v>126</v>
      </c>
      <c r="B33" s="3">
        <f>SUM(B34:B55)</f>
        <v>90865000</v>
      </c>
      <c r="C33" s="4"/>
    </row>
    <row r="34" spans="1:3" x14ac:dyDescent="0.35">
      <c r="A34" t="s">
        <v>93</v>
      </c>
      <c r="B34" s="1">
        <f>+'PRIVADO COMPLETO'!O55</f>
        <v>12660000</v>
      </c>
    </row>
    <row r="35" spans="1:3" x14ac:dyDescent="0.35">
      <c r="A35" t="s">
        <v>94</v>
      </c>
      <c r="B35" s="1">
        <f>+'PRIVADO COMPLETO'!O56</f>
        <v>0</v>
      </c>
    </row>
    <row r="36" spans="1:3" x14ac:dyDescent="0.35">
      <c r="A36" t="s">
        <v>95</v>
      </c>
      <c r="B36" s="1">
        <f>+'PRIVADO COMPLETO'!O57</f>
        <v>1056000</v>
      </c>
    </row>
    <row r="37" spans="1:3" x14ac:dyDescent="0.35">
      <c r="A37" t="s">
        <v>96</v>
      </c>
      <c r="B37" s="1">
        <f>+'PRIVADO COMPLETO'!O58</f>
        <v>1140000</v>
      </c>
    </row>
    <row r="38" spans="1:3" x14ac:dyDescent="0.35">
      <c r="A38" t="s">
        <v>97</v>
      </c>
      <c r="B38" s="1">
        <f>+'PRIVADO COMPLETO'!O59</f>
        <v>132000</v>
      </c>
    </row>
    <row r="39" spans="1:3" x14ac:dyDescent="0.35">
      <c r="A39" t="s">
        <v>98</v>
      </c>
      <c r="B39" s="1">
        <f>+'PRIVADO COMPLETO'!O60</f>
        <v>1140000</v>
      </c>
    </row>
    <row r="40" spans="1:3" x14ac:dyDescent="0.35">
      <c r="A40" t="s">
        <v>99</v>
      </c>
      <c r="B40" s="1">
        <f>+'PRIVADO COMPLETO'!O61</f>
        <v>792000</v>
      </c>
    </row>
    <row r="41" spans="1:3" x14ac:dyDescent="0.35">
      <c r="A41" t="s">
        <v>127</v>
      </c>
      <c r="B41" s="1">
        <f>+'PRIVADO COMPLETO'!O62</f>
        <v>26850000</v>
      </c>
    </row>
    <row r="42" spans="1:3" x14ac:dyDescent="0.35">
      <c r="A42" t="s">
        <v>100</v>
      </c>
      <c r="B42" s="1">
        <f>+'PRIVADO COMPLETO'!O63</f>
        <v>38000000</v>
      </c>
    </row>
    <row r="43" spans="1:3" x14ac:dyDescent="0.35">
      <c r="A43" t="s">
        <v>541</v>
      </c>
      <c r="B43" s="1">
        <v>0</v>
      </c>
    </row>
    <row r="44" spans="1:3" x14ac:dyDescent="0.35">
      <c r="A44" t="s">
        <v>282</v>
      </c>
      <c r="B44" s="1">
        <f>+'PRIVADO COMPLETO'!O65</f>
        <v>2875000</v>
      </c>
    </row>
    <row r="45" spans="1:3" x14ac:dyDescent="0.35">
      <c r="A45" t="s">
        <v>101</v>
      </c>
      <c r="B45" s="1">
        <f>+'PRIVADO COMPLETO'!O66</f>
        <v>600000</v>
      </c>
    </row>
    <row r="46" spans="1:3" x14ac:dyDescent="0.35">
      <c r="A46" t="s">
        <v>102</v>
      </c>
      <c r="B46" s="1">
        <v>0</v>
      </c>
    </row>
    <row r="47" spans="1:3" x14ac:dyDescent="0.35">
      <c r="A47" t="s">
        <v>103</v>
      </c>
      <c r="B47" s="1">
        <f>+'PRIVADO COMPLETO'!O67</f>
        <v>1000000</v>
      </c>
    </row>
    <row r="48" spans="1:3" x14ac:dyDescent="0.35">
      <c r="A48" t="s">
        <v>104</v>
      </c>
      <c r="B48" s="1">
        <f>+'PRIVADO COMPLETO'!O68</f>
        <v>876000</v>
      </c>
    </row>
    <row r="49" spans="1:2" x14ac:dyDescent="0.35">
      <c r="A49" t="s">
        <v>105</v>
      </c>
      <c r="B49" s="1">
        <f>+'PRIVADO COMPLETO'!O69</f>
        <v>1080000</v>
      </c>
    </row>
    <row r="50" spans="1:2" x14ac:dyDescent="0.35">
      <c r="A50" t="s">
        <v>106</v>
      </c>
      <c r="B50" s="1">
        <f>+'PRIVADO COMPLETO'!O70</f>
        <v>1524000</v>
      </c>
    </row>
    <row r="51" spans="1:2" x14ac:dyDescent="0.35">
      <c r="A51" t="s">
        <v>107</v>
      </c>
      <c r="B51" s="1">
        <f>+'PRIVADO COMPLETO'!O71</f>
        <v>504000</v>
      </c>
    </row>
    <row r="52" spans="1:2" x14ac:dyDescent="0.35">
      <c r="A52" t="s">
        <v>108</v>
      </c>
      <c r="B52" s="1">
        <f>+'PRIVADO COMPLETO'!O72</f>
        <v>384000</v>
      </c>
    </row>
    <row r="53" spans="1:2" x14ac:dyDescent="0.35">
      <c r="A53" t="s">
        <v>109</v>
      </c>
      <c r="B53" s="1">
        <f>+'PRIVADO COMPLETO'!O73</f>
        <v>252000</v>
      </c>
    </row>
    <row r="54" spans="1:2" x14ac:dyDescent="0.35">
      <c r="A54" t="s">
        <v>110</v>
      </c>
      <c r="B54" s="1">
        <v>0</v>
      </c>
    </row>
    <row r="55" spans="1:2" x14ac:dyDescent="0.35">
      <c r="A55" t="s">
        <v>111</v>
      </c>
      <c r="B55" s="1">
        <v>0</v>
      </c>
    </row>
    <row r="57" spans="1:2" s="2" customFormat="1" x14ac:dyDescent="0.35">
      <c r="A57" s="2" t="s">
        <v>1</v>
      </c>
      <c r="B57" s="3">
        <f>+SUM(B58:B61)</f>
        <v>32435000</v>
      </c>
    </row>
    <row r="58" spans="1:2" s="2" customFormat="1" x14ac:dyDescent="0.35">
      <c r="A58" s="24" t="s">
        <v>772</v>
      </c>
      <c r="B58" s="25">
        <f>+'PRIVADO COMPLETO'!O76</f>
        <v>20384000</v>
      </c>
    </row>
    <row r="59" spans="1:2" s="2" customFormat="1" x14ac:dyDescent="0.35">
      <c r="A59" s="24" t="s">
        <v>770</v>
      </c>
      <c r="B59" s="25">
        <f>+'PRIVADO COMPLETO'!O77</f>
        <v>11000000</v>
      </c>
    </row>
    <row r="60" spans="1:2" s="2" customFormat="1" x14ac:dyDescent="0.35">
      <c r="A60" s="24" t="s">
        <v>500</v>
      </c>
      <c r="B60" s="25">
        <f>+'PRIVADO COMPLETO'!O78</f>
        <v>1051000</v>
      </c>
    </row>
    <row r="61" spans="1:2" s="2" customFormat="1" x14ac:dyDescent="0.35">
      <c r="A61" s="24" t="s">
        <v>771</v>
      </c>
      <c r="B61" s="25">
        <f>+'PRIVADO COMPLETO'!O79</f>
        <v>0</v>
      </c>
    </row>
    <row r="62" spans="1:2" s="2" customFormat="1" x14ac:dyDescent="0.35">
      <c r="B62" s="3"/>
    </row>
    <row r="63" spans="1:2" s="2" customFormat="1" x14ac:dyDescent="0.35">
      <c r="A63" s="2" t="s">
        <v>256</v>
      </c>
      <c r="B63" s="3">
        <f>+'PRIVADO COMPLETO'!O75</f>
        <v>32435000</v>
      </c>
    </row>
    <row r="65" spans="1:3" s="2" customFormat="1" x14ac:dyDescent="0.35">
      <c r="A65" s="2" t="s">
        <v>5</v>
      </c>
      <c r="B65" s="3">
        <f>SUM(B66:B68)</f>
        <v>2704016</v>
      </c>
    </row>
    <row r="66" spans="1:3" x14ac:dyDescent="0.35">
      <c r="A66" t="s">
        <v>6</v>
      </c>
      <c r="B66" s="1">
        <f>+'PRIVADO COMPLETO'!O81</f>
        <v>1539000</v>
      </c>
    </row>
    <row r="67" spans="1:3" x14ac:dyDescent="0.35">
      <c r="A67" t="s">
        <v>252</v>
      </c>
      <c r="B67" s="1">
        <f>+'PRIVADO COMPLETO'!O82</f>
        <v>1088511</v>
      </c>
    </row>
    <row r="68" spans="1:3" x14ac:dyDescent="0.35">
      <c r="A68" t="s">
        <v>825</v>
      </c>
      <c r="B68" s="1">
        <f>+'PRIVADO COMPLETO'!O83</f>
        <v>76505</v>
      </c>
    </row>
    <row r="70" spans="1:3" s="2" customFormat="1" x14ac:dyDescent="0.35">
      <c r="A70" s="2" t="s">
        <v>7</v>
      </c>
      <c r="B70" s="3">
        <f>SUM(B71:B73)</f>
        <v>2948000</v>
      </c>
    </row>
    <row r="71" spans="1:3" s="2" customFormat="1" x14ac:dyDescent="0.35">
      <c r="A71" s="24" t="s">
        <v>8</v>
      </c>
      <c r="B71" s="25">
        <f>+'PRIVADO COMPLETO'!O85</f>
        <v>32000</v>
      </c>
    </row>
    <row r="72" spans="1:3" x14ac:dyDescent="0.35">
      <c r="A72" t="s">
        <v>12</v>
      </c>
      <c r="B72" s="1">
        <f>+'PRIVADO COMPLETO'!O86</f>
        <v>528000</v>
      </c>
    </row>
    <row r="73" spans="1:3" x14ac:dyDescent="0.35">
      <c r="A73" t="s">
        <v>231</v>
      </c>
      <c r="B73" s="1">
        <f>+'PRIVADO COMPLETO'!O87</f>
        <v>2388000</v>
      </c>
    </row>
    <row r="75" spans="1:3" s="2" customFormat="1" x14ac:dyDescent="0.35">
      <c r="A75" s="2" t="s">
        <v>114</v>
      </c>
      <c r="B75" s="3">
        <f>+B76+B79</f>
        <v>13425393.482000001</v>
      </c>
    </row>
    <row r="76" spans="1:3" s="2" customFormat="1" x14ac:dyDescent="0.35">
      <c r="A76" s="2" t="s">
        <v>115</v>
      </c>
      <c r="B76" s="3">
        <f>SUM(B77:B78)</f>
        <v>7521393.4819999998</v>
      </c>
    </row>
    <row r="77" spans="1:3" x14ac:dyDescent="0.35">
      <c r="A77" t="s">
        <v>117</v>
      </c>
      <c r="B77" s="1">
        <f>+'PRIVADO COMPLETO'!O90</f>
        <v>4161393.4819999998</v>
      </c>
    </row>
    <row r="78" spans="1:3" x14ac:dyDescent="0.35">
      <c r="A78" t="s">
        <v>257</v>
      </c>
      <c r="B78" s="1">
        <f>+'PRIVADO COMPLETO'!O91</f>
        <v>3360000</v>
      </c>
    </row>
    <row r="79" spans="1:3" s="2" customFormat="1" x14ac:dyDescent="0.35">
      <c r="A79" s="2" t="s">
        <v>116</v>
      </c>
      <c r="B79" s="3">
        <f>SUM(B80:B82)</f>
        <v>5904000</v>
      </c>
      <c r="C79" s="4"/>
    </row>
    <row r="80" spans="1:3" x14ac:dyDescent="0.35">
      <c r="A80" t="s">
        <v>129</v>
      </c>
      <c r="B80" s="1">
        <f>+'PRIVADO COMPLETO'!O93</f>
        <v>1944000</v>
      </c>
    </row>
    <row r="81" spans="1:2" x14ac:dyDescent="0.35">
      <c r="A81" t="s">
        <v>130</v>
      </c>
      <c r="B81" s="1">
        <f>+'PRIVADO COMPLETO'!O95</f>
        <v>1224000</v>
      </c>
    </row>
    <row r="82" spans="1:2" x14ac:dyDescent="0.35">
      <c r="A82" t="s">
        <v>289</v>
      </c>
      <c r="B82" s="1">
        <f>+'PRIVADO COMPLETO'!O94</f>
        <v>2736000</v>
      </c>
    </row>
    <row r="84" spans="1:2" s="2" customFormat="1" x14ac:dyDescent="0.35">
      <c r="A84" s="2" t="s">
        <v>13</v>
      </c>
      <c r="B84" s="3">
        <f>+'PRIVADO COMPLETO'!O96</f>
        <v>3938000</v>
      </c>
    </row>
    <row r="86" spans="1:2" s="2" customFormat="1" x14ac:dyDescent="0.35">
      <c r="A86" s="2" t="s">
        <v>22</v>
      </c>
      <c r="B86" s="3">
        <f>SUM(B87:B94)</f>
        <v>54993000</v>
      </c>
    </row>
    <row r="87" spans="1:2" x14ac:dyDescent="0.35">
      <c r="A87" t="s">
        <v>23</v>
      </c>
      <c r="B87" s="1">
        <f>+'PRIVADO COMPLETO'!O106</f>
        <v>14459000</v>
      </c>
    </row>
    <row r="88" spans="1:2" x14ac:dyDescent="0.35">
      <c r="A88" s="24" t="s">
        <v>24</v>
      </c>
      <c r="B88" s="1">
        <f>+'PRIVADO COMPLETO'!O116</f>
        <v>1250000</v>
      </c>
    </row>
    <row r="89" spans="1:2" x14ac:dyDescent="0.35">
      <c r="A89" t="s">
        <v>25</v>
      </c>
      <c r="B89" s="1">
        <f>+'PRIVADO COMPLETO'!O117</f>
        <v>288000</v>
      </c>
    </row>
    <row r="90" spans="1:2" x14ac:dyDescent="0.35">
      <c r="A90" t="s">
        <v>26</v>
      </c>
      <c r="B90" s="1">
        <f>+'PRIVADO COMPLETO'!O120</f>
        <v>6360000</v>
      </c>
    </row>
    <row r="91" spans="1:2" x14ac:dyDescent="0.35">
      <c r="A91" t="s">
        <v>27</v>
      </c>
      <c r="B91" s="1">
        <f>+'PRIVADO COMPLETO'!O122</f>
        <v>0</v>
      </c>
    </row>
    <row r="92" spans="1:2" x14ac:dyDescent="0.35">
      <c r="A92" t="s">
        <v>28</v>
      </c>
      <c r="B92" s="1">
        <f>+'PRIVADO COMPLETO'!O124</f>
        <v>3542000</v>
      </c>
    </row>
    <row r="93" spans="1:2" x14ac:dyDescent="0.35">
      <c r="A93" t="s">
        <v>288</v>
      </c>
      <c r="B93" s="1">
        <f>+'PRIVADO COMPLETO'!O132</f>
        <v>25626000</v>
      </c>
    </row>
    <row r="94" spans="1:2" x14ac:dyDescent="0.35">
      <c r="A94" t="s">
        <v>220</v>
      </c>
      <c r="B94" s="1">
        <f>+'PRIVADO COMPLETO'!O144</f>
        <v>3468000</v>
      </c>
    </row>
    <row r="96" spans="1:2" s="2" customFormat="1" x14ac:dyDescent="0.35">
      <c r="A96" s="2" t="s">
        <v>50</v>
      </c>
      <c r="B96" s="3">
        <f>SUM(B97:B98)</f>
        <v>8319000</v>
      </c>
    </row>
    <row r="97" spans="1:4" x14ac:dyDescent="0.35">
      <c r="A97" t="s">
        <v>51</v>
      </c>
      <c r="B97" s="1">
        <f>+'PRIVADO COMPLETO'!O156</f>
        <v>1563000</v>
      </c>
    </row>
    <row r="98" spans="1:4" x14ac:dyDescent="0.35">
      <c r="A98" t="s">
        <v>53</v>
      </c>
      <c r="B98" s="1">
        <f>+'PRIVADO COMPLETO'!O162</f>
        <v>6756000</v>
      </c>
    </row>
    <row r="100" spans="1:4" s="2" customFormat="1" x14ac:dyDescent="0.35">
      <c r="A100" s="2" t="s">
        <v>57</v>
      </c>
      <c r="B100" s="3">
        <f>SUM(B101:B104)</f>
        <v>11605000</v>
      </c>
    </row>
    <row r="101" spans="1:4" s="2" customFormat="1" x14ac:dyDescent="0.35">
      <c r="A101" s="24" t="s">
        <v>59</v>
      </c>
      <c r="B101" s="25">
        <f>+'PRIVADO COMPLETO'!O170</f>
        <v>4100000</v>
      </c>
    </row>
    <row r="102" spans="1:4" x14ac:dyDescent="0.35">
      <c r="A102" t="s">
        <v>61</v>
      </c>
      <c r="B102" s="1">
        <f>+'PRIVADO COMPLETO'!O175</f>
        <v>2310000</v>
      </c>
    </row>
    <row r="103" spans="1:4" x14ac:dyDescent="0.35">
      <c r="A103" t="s">
        <v>258</v>
      </c>
      <c r="B103" s="1">
        <f>+'PRIVADO COMPLETO'!O178</f>
        <v>1560000</v>
      </c>
    </row>
    <row r="104" spans="1:4" x14ac:dyDescent="0.35">
      <c r="A104" t="s">
        <v>64</v>
      </c>
      <c r="B104" s="1">
        <f>+'PRIVADO COMPLETO'!O182</f>
        <v>3635000</v>
      </c>
    </row>
    <row r="106" spans="1:4" s="2" customFormat="1" x14ac:dyDescent="0.35">
      <c r="A106" s="2" t="s">
        <v>58</v>
      </c>
      <c r="B106" s="3">
        <f>SUM(B107:B109)</f>
        <v>88800000</v>
      </c>
    </row>
    <row r="107" spans="1:4" x14ac:dyDescent="0.35">
      <c r="A107" t="s">
        <v>51</v>
      </c>
      <c r="B107" s="1">
        <f>+'PRIVADO COMPLETO'!O184</f>
        <v>39600000</v>
      </c>
    </row>
    <row r="108" spans="1:4" x14ac:dyDescent="0.35">
      <c r="A108" t="s">
        <v>53</v>
      </c>
      <c r="B108" s="1">
        <f>+'PRIVADO COMPLETO'!O185</f>
        <v>30000000</v>
      </c>
    </row>
    <row r="109" spans="1:4" x14ac:dyDescent="0.35">
      <c r="A109" t="s">
        <v>66</v>
      </c>
      <c r="B109" s="1">
        <f>+'PRIVADO COMPLETO'!O186</f>
        <v>19200000</v>
      </c>
      <c r="D109" s="79"/>
    </row>
    <row r="110" spans="1:4" x14ac:dyDescent="0.35">
      <c r="D110" s="80"/>
    </row>
    <row r="111" spans="1:4" x14ac:dyDescent="0.35">
      <c r="A111" s="2" t="s">
        <v>67</v>
      </c>
      <c r="B111" s="3">
        <f>SUM(B112)</f>
        <v>0</v>
      </c>
      <c r="D111" s="80"/>
    </row>
    <row r="112" spans="1:4" x14ac:dyDescent="0.35">
      <c r="A112" t="s">
        <v>68</v>
      </c>
      <c r="B112" s="1">
        <f>+'PRIVADO COMPLETO'!O188</f>
        <v>0</v>
      </c>
      <c r="D112" s="80"/>
    </row>
    <row r="113" spans="1:4" x14ac:dyDescent="0.35">
      <c r="D113" s="80"/>
    </row>
    <row r="114" spans="1:4" s="2" customFormat="1" x14ac:dyDescent="0.35">
      <c r="A114" s="2" t="s">
        <v>71</v>
      </c>
      <c r="B114" s="3">
        <f>SUM(B115:B122)</f>
        <v>60590000</v>
      </c>
      <c r="D114" s="52"/>
    </row>
    <row r="115" spans="1:4" s="2" customFormat="1" x14ac:dyDescent="0.35">
      <c r="A115" s="24" t="s">
        <v>406</v>
      </c>
      <c r="B115" s="1">
        <f>+'PRIVADO COMPLETO'!O192</f>
        <v>0</v>
      </c>
      <c r="D115" s="52"/>
    </row>
    <row r="116" spans="1:4" x14ac:dyDescent="0.35">
      <c r="A116" t="s">
        <v>73</v>
      </c>
      <c r="B116" s="1">
        <f>+'PRIVADO COMPLETO'!O193</f>
        <v>1248000</v>
      </c>
    </row>
    <row r="117" spans="1:4" x14ac:dyDescent="0.35">
      <c r="A117" t="s">
        <v>76</v>
      </c>
      <c r="B117" s="1">
        <f>+'PRIVADO COMPLETO'!O196</f>
        <v>783000</v>
      </c>
    </row>
    <row r="118" spans="1:4" x14ac:dyDescent="0.35">
      <c r="A118" t="s">
        <v>79</v>
      </c>
      <c r="B118" s="1">
        <f>+'PRIVADO COMPLETO'!O199</f>
        <v>104000</v>
      </c>
    </row>
    <row r="119" spans="1:4" x14ac:dyDescent="0.35">
      <c r="A119" t="s">
        <v>259</v>
      </c>
      <c r="B119" s="1">
        <f>+'PRIVADO COMPLETO'!O201</f>
        <v>324000</v>
      </c>
    </row>
    <row r="120" spans="1:4" x14ac:dyDescent="0.35">
      <c r="A120" t="s">
        <v>81</v>
      </c>
      <c r="B120" s="1">
        <f>+'PRIVADO COMPLETO'!O202</f>
        <v>24038000</v>
      </c>
    </row>
    <row r="121" spans="1:4" x14ac:dyDescent="0.35">
      <c r="A121" t="s">
        <v>82</v>
      </c>
      <c r="B121" s="1">
        <f>+'PRIVADO COMPLETO'!O213</f>
        <v>18000</v>
      </c>
    </row>
    <row r="122" spans="1:4" x14ac:dyDescent="0.35">
      <c r="A122" t="s">
        <v>3</v>
      </c>
      <c r="B122" s="1">
        <f>+'PRIVADO COMPLETO'!O214</f>
        <v>34075000</v>
      </c>
    </row>
    <row r="124" spans="1:4" s="2" customFormat="1" x14ac:dyDescent="0.35">
      <c r="A124" s="2" t="s">
        <v>87</v>
      </c>
      <c r="B124" s="3">
        <f>+B125</f>
        <v>30317000</v>
      </c>
    </row>
    <row r="125" spans="1:4" s="2" customFormat="1" x14ac:dyDescent="0.35">
      <c r="A125" s="2" t="s">
        <v>88</v>
      </c>
      <c r="B125" s="3">
        <f>SUM(B126:B129)</f>
        <v>30317000</v>
      </c>
    </row>
    <row r="126" spans="1:4" x14ac:dyDescent="0.35">
      <c r="A126" t="s">
        <v>89</v>
      </c>
      <c r="B126" s="1">
        <f>+'PRIVADO COMPLETO'!O230</f>
        <v>2460000</v>
      </c>
    </row>
    <row r="127" spans="1:4" x14ac:dyDescent="0.35">
      <c r="A127" t="s">
        <v>90</v>
      </c>
      <c r="B127" s="1">
        <f>+'PRIVADO COMPLETO'!O231</f>
        <v>0</v>
      </c>
    </row>
    <row r="128" spans="1:4" x14ac:dyDescent="0.35">
      <c r="A128" t="s">
        <v>91</v>
      </c>
      <c r="B128" s="1">
        <f>+'PRIVADO COMPLETO'!O232</f>
        <v>1752000</v>
      </c>
    </row>
    <row r="129" spans="1:2" x14ac:dyDescent="0.35">
      <c r="A129" t="s">
        <v>122</v>
      </c>
      <c r="B129" s="1">
        <f>+'PRIVADO COMPLETO'!O233</f>
        <v>26105000</v>
      </c>
    </row>
    <row r="130" spans="1:2" x14ac:dyDescent="0.35">
      <c r="A130" t="s">
        <v>92</v>
      </c>
    </row>
    <row r="131" spans="1:2" s="2" customFormat="1" x14ac:dyDescent="0.35">
      <c r="A131" s="2" t="s">
        <v>158</v>
      </c>
      <c r="B131" s="3">
        <f>+B6-B31</f>
        <v>15199938.717999995</v>
      </c>
    </row>
  </sheetData>
  <pageMargins left="0.7" right="0.7" top="0.75" bottom="0.75" header="0.3" footer="0.3"/>
  <pageSetup orientation="portrait" r:id="rId1"/>
  <ignoredErrors>
    <ignoredError sqref="B13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41"/>
  <sheetViews>
    <sheetView topLeftCell="A7" workbookViewId="0">
      <selection activeCell="B7" sqref="B7:B15"/>
    </sheetView>
  </sheetViews>
  <sheetFormatPr baseColWidth="10" defaultColWidth="25.26953125" defaultRowHeight="12.5" x14ac:dyDescent="0.25"/>
  <cols>
    <col min="1" max="1" width="33.453125" style="81" customWidth="1"/>
    <col min="2" max="2" width="18.81640625" style="95" bestFit="1" customWidth="1"/>
    <col min="3" max="16384" width="25.26953125" style="81"/>
  </cols>
  <sheetData>
    <row r="1" spans="1:2" s="93" customFormat="1" x14ac:dyDescent="0.25">
      <c r="A1" s="93" t="s">
        <v>0</v>
      </c>
      <c r="B1" s="94"/>
    </row>
    <row r="2" spans="1:2" s="93" customFormat="1" x14ac:dyDescent="0.25">
      <c r="A2" s="93" t="s">
        <v>829</v>
      </c>
      <c r="B2" s="94"/>
    </row>
    <row r="3" spans="1:2" s="93" customFormat="1" ht="13" thickBot="1" x14ac:dyDescent="0.3">
      <c r="B3" s="94"/>
    </row>
    <row r="4" spans="1:2" ht="13" thickBot="1" x14ac:dyDescent="0.3">
      <c r="B4" s="120" t="s">
        <v>830</v>
      </c>
    </row>
    <row r="5" spans="1:2" s="93" customFormat="1" x14ac:dyDescent="0.25">
      <c r="A5" s="98" t="s">
        <v>172</v>
      </c>
      <c r="B5" s="99">
        <f>+B6+B17</f>
        <v>2760882343.5690656</v>
      </c>
    </row>
    <row r="6" spans="1:2" s="93" customFormat="1" x14ac:dyDescent="0.25">
      <c r="A6" s="100" t="s">
        <v>173</v>
      </c>
      <c r="B6" s="101">
        <f>SUM(B7:B15)</f>
        <v>2722747475.5830655</v>
      </c>
    </row>
    <row r="7" spans="1:2" x14ac:dyDescent="0.25">
      <c r="A7" s="102" t="s">
        <v>174</v>
      </c>
      <c r="B7" s="115">
        <f>+'PUBLICO COMPLETO'!O9</f>
        <v>220512493.18604255</v>
      </c>
    </row>
    <row r="8" spans="1:2" x14ac:dyDescent="0.25">
      <c r="A8" s="102" t="s">
        <v>177</v>
      </c>
      <c r="B8" s="115">
        <f>+'PUBLICO COMPLETO'!O13</f>
        <v>1976568764.426229</v>
      </c>
    </row>
    <row r="9" spans="1:2" x14ac:dyDescent="0.25">
      <c r="A9" s="102" t="s">
        <v>180</v>
      </c>
      <c r="B9" s="115">
        <f>+'PUBLICO COMPLETO'!O18</f>
        <v>65105535.55702991</v>
      </c>
    </row>
    <row r="10" spans="1:2" x14ac:dyDescent="0.25">
      <c r="A10" s="102" t="s">
        <v>191</v>
      </c>
      <c r="B10" s="115">
        <f>+'PUBLICO COMPLETO'!O30</f>
        <v>65687063.68</v>
      </c>
    </row>
    <row r="11" spans="1:2" x14ac:dyDescent="0.25">
      <c r="A11" s="102" t="s">
        <v>193</v>
      </c>
      <c r="B11" s="115">
        <f>+'PUBLICO COMPLETO'!O32</f>
        <v>115333666.99598719</v>
      </c>
    </row>
    <row r="12" spans="1:2" x14ac:dyDescent="0.25">
      <c r="A12" s="102" t="s">
        <v>198</v>
      </c>
      <c r="B12" s="115">
        <f>+'PUBLICO COMPLETO'!O37</f>
        <v>19536</v>
      </c>
    </row>
    <row r="13" spans="1:2" x14ac:dyDescent="0.25">
      <c r="A13" s="102" t="s">
        <v>310</v>
      </c>
      <c r="B13" s="115">
        <f>+'PUBLICO COMPLETO'!O39</f>
        <v>63863957.737777203</v>
      </c>
    </row>
    <row r="14" spans="1:2" x14ac:dyDescent="0.25">
      <c r="A14" s="102" t="s">
        <v>311</v>
      </c>
      <c r="B14" s="115">
        <f>+'PUBLICO COMPLETO'!O44</f>
        <v>203116458</v>
      </c>
    </row>
    <row r="15" spans="1:2" ht="13" thickBot="1" x14ac:dyDescent="0.3">
      <c r="A15" s="409" t="s">
        <v>915</v>
      </c>
      <c r="B15" s="410">
        <f>+'PUBLICO COMPLETO'!O51</f>
        <v>12540000</v>
      </c>
    </row>
    <row r="16" spans="1:2" s="107" customFormat="1" ht="10.5" customHeight="1" thickBot="1" x14ac:dyDescent="0.3">
      <c r="B16" s="108"/>
    </row>
    <row r="17" spans="1:4" s="93" customFormat="1" x14ac:dyDescent="0.25">
      <c r="A17" s="98" t="s">
        <v>209</v>
      </c>
      <c r="B17" s="99">
        <f>SUM(B18:B19)</f>
        <v>38134867.986000001</v>
      </c>
    </row>
    <row r="18" spans="1:4" x14ac:dyDescent="0.25">
      <c r="A18" s="102" t="s">
        <v>312</v>
      </c>
      <c r="B18" s="115">
        <f>+'PUBLICO COMPLETO'!O56+'PUBLICO COMPLETO'!O59</f>
        <v>35008867.986000001</v>
      </c>
    </row>
    <row r="19" spans="1:4" ht="13" thickBot="1" x14ac:dyDescent="0.3">
      <c r="A19" s="103" t="s">
        <v>313</v>
      </c>
      <c r="B19" s="116">
        <f>+'PUBLICO COMPLETO'!O57</f>
        <v>3126000</v>
      </c>
    </row>
    <row r="20" spans="1:4" ht="9.75" customHeight="1" thickBot="1" x14ac:dyDescent="0.3"/>
    <row r="21" spans="1:4" s="93" customFormat="1" x14ac:dyDescent="0.25">
      <c r="A21" s="98" t="s">
        <v>112</v>
      </c>
      <c r="B21" s="99">
        <f>+B22+B37</f>
        <v>2638671560.4356909</v>
      </c>
    </row>
    <row r="22" spans="1:4" s="93" customFormat="1" x14ac:dyDescent="0.25">
      <c r="A22" s="100" t="s">
        <v>113</v>
      </c>
      <c r="B22" s="101">
        <f>SUM(B23:B35)</f>
        <v>2621331560.4356909</v>
      </c>
    </row>
    <row r="23" spans="1:4" x14ac:dyDescent="0.25">
      <c r="A23" s="102" t="s">
        <v>126</v>
      </c>
      <c r="B23" s="115">
        <f>+'PUBLICO COMPLETO'!O66</f>
        <v>1465989800</v>
      </c>
    </row>
    <row r="24" spans="1:4" x14ac:dyDescent="0.25">
      <c r="A24" s="102" t="s">
        <v>1</v>
      </c>
      <c r="B24" s="115">
        <f>+'PUBLICO COMPLETO'!O85</f>
        <v>151934000</v>
      </c>
      <c r="D24" s="131"/>
    </row>
    <row r="25" spans="1:4" x14ac:dyDescent="0.25">
      <c r="A25" s="102" t="s">
        <v>5</v>
      </c>
      <c r="B25" s="115">
        <f>+'PUBLICO COMPLETO'!O107</f>
        <v>81572000</v>
      </c>
    </row>
    <row r="26" spans="1:4" x14ac:dyDescent="0.25">
      <c r="A26" s="102" t="s">
        <v>7</v>
      </c>
      <c r="B26" s="115">
        <f>+'PUBLICO COMPLETO'!O114</f>
        <v>112393000</v>
      </c>
    </row>
    <row r="27" spans="1:4" x14ac:dyDescent="0.25">
      <c r="A27" s="102" t="s">
        <v>114</v>
      </c>
      <c r="B27" s="115">
        <f>+'PUBLICO COMPLETO'!O134</f>
        <v>126541823.43569066</v>
      </c>
    </row>
    <row r="28" spans="1:4" x14ac:dyDescent="0.25">
      <c r="A28" s="102" t="s">
        <v>13</v>
      </c>
      <c r="B28" s="115">
        <f>+'PUBLICO COMPLETO'!O156</f>
        <v>18488000</v>
      </c>
    </row>
    <row r="29" spans="1:4" x14ac:dyDescent="0.25">
      <c r="A29" s="102" t="s">
        <v>22</v>
      </c>
      <c r="B29" s="115">
        <f>+'PUBLICO COMPLETO'!O169</f>
        <v>271826000</v>
      </c>
    </row>
    <row r="30" spans="1:4" x14ac:dyDescent="0.25">
      <c r="A30" s="102" t="s">
        <v>48</v>
      </c>
      <c r="B30" s="115">
        <f>+'PUBLICO COMPLETO'!O275</f>
        <v>86000</v>
      </c>
    </row>
    <row r="31" spans="1:4" x14ac:dyDescent="0.25">
      <c r="A31" s="102" t="s">
        <v>50</v>
      </c>
      <c r="B31" s="115">
        <f>+'PUBLICO COMPLETO'!O277</f>
        <v>73696937</v>
      </c>
    </row>
    <row r="32" spans="1:4" x14ac:dyDescent="0.25">
      <c r="A32" s="102" t="s">
        <v>57</v>
      </c>
      <c r="B32" s="115">
        <f>+'PUBLICO COMPLETO'!O315</f>
        <v>100931000</v>
      </c>
    </row>
    <row r="33" spans="1:2" x14ac:dyDescent="0.25">
      <c r="A33" s="102" t="s">
        <v>58</v>
      </c>
      <c r="B33" s="115">
        <f>+'PUBLICO COMPLETO'!O363</f>
        <v>90408000</v>
      </c>
    </row>
    <row r="34" spans="1:2" x14ac:dyDescent="0.25">
      <c r="A34" s="102" t="s">
        <v>67</v>
      </c>
      <c r="B34" s="115">
        <f>+'PUBLICO COMPLETO'!O369</f>
        <v>24986000</v>
      </c>
    </row>
    <row r="35" spans="1:2" ht="13" thickBot="1" x14ac:dyDescent="0.3">
      <c r="A35" s="103" t="s">
        <v>71</v>
      </c>
      <c r="B35" s="116">
        <f>+'PUBLICO COMPLETO'!O379</f>
        <v>102479000</v>
      </c>
    </row>
    <row r="36" spans="1:2" ht="9" customHeight="1" thickBot="1" x14ac:dyDescent="0.3">
      <c r="A36" s="105"/>
      <c r="B36" s="106"/>
    </row>
    <row r="37" spans="1:2" x14ac:dyDescent="0.25">
      <c r="A37" s="98" t="s">
        <v>87</v>
      </c>
      <c r="B37" s="99">
        <f>SUM(B38:B39)</f>
        <v>17340000</v>
      </c>
    </row>
    <row r="38" spans="1:2" x14ac:dyDescent="0.25">
      <c r="A38" s="102" t="s">
        <v>88</v>
      </c>
      <c r="B38" s="115">
        <f>+'PUBLICO COMPLETO'!O443</f>
        <v>17136000</v>
      </c>
    </row>
    <row r="39" spans="1:2" ht="13" thickBot="1" x14ac:dyDescent="0.3">
      <c r="A39" s="113" t="s">
        <v>274</v>
      </c>
      <c r="B39" s="116">
        <f>+'PUBLICO COMPLETO'!O448</f>
        <v>204000</v>
      </c>
    </row>
    <row r="40" spans="1:2" ht="7.5" customHeight="1" thickBot="1" x14ac:dyDescent="0.3">
      <c r="A40" s="81" t="s">
        <v>92</v>
      </c>
    </row>
    <row r="41" spans="1:2" ht="13" thickBot="1" x14ac:dyDescent="0.3">
      <c r="A41" s="121" t="s">
        <v>171</v>
      </c>
      <c r="B41" s="122">
        <f>+B5-B21</f>
        <v>122210783.13337469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37"/>
  <sheetViews>
    <sheetView workbookViewId="0">
      <selection activeCell="C52" sqref="C52"/>
    </sheetView>
  </sheetViews>
  <sheetFormatPr baseColWidth="10" defaultColWidth="24.453125" defaultRowHeight="12.5" x14ac:dyDescent="0.25"/>
  <cols>
    <col min="1" max="1" width="32.54296875" style="81" customWidth="1"/>
    <col min="2" max="2" width="18.81640625" style="95" bestFit="1" customWidth="1"/>
    <col min="3" max="3" width="24.453125" style="95"/>
    <col min="4" max="16384" width="24.453125" style="81"/>
  </cols>
  <sheetData>
    <row r="1" spans="1:3" s="93" customFormat="1" x14ac:dyDescent="0.25">
      <c r="A1" s="93" t="s">
        <v>0</v>
      </c>
      <c r="B1" s="94"/>
      <c r="C1" s="94"/>
    </row>
    <row r="2" spans="1:3" s="93" customFormat="1" x14ac:dyDescent="0.25">
      <c r="A2" s="93" t="s">
        <v>672</v>
      </c>
      <c r="B2" s="94"/>
      <c r="C2" s="94"/>
    </row>
    <row r="3" spans="1:3" ht="13" thickBot="1" x14ac:dyDescent="0.3"/>
    <row r="4" spans="1:3" s="96" customFormat="1" ht="13" thickBot="1" x14ac:dyDescent="0.4">
      <c r="B4" s="114" t="s">
        <v>830</v>
      </c>
      <c r="C4" s="97"/>
    </row>
    <row r="5" spans="1:3" s="93" customFormat="1" x14ac:dyDescent="0.25">
      <c r="A5" s="98" t="s">
        <v>136</v>
      </c>
      <c r="B5" s="99">
        <f>+B6+B12</f>
        <v>416139348.19999999</v>
      </c>
      <c r="C5" s="94"/>
    </row>
    <row r="6" spans="1:3" s="93" customFormat="1" x14ac:dyDescent="0.25">
      <c r="A6" s="100" t="s">
        <v>137</v>
      </c>
      <c r="B6" s="101">
        <f>SUM(B7:B10)</f>
        <v>191961600</v>
      </c>
      <c r="C6" s="94"/>
    </row>
    <row r="7" spans="1:3" x14ac:dyDescent="0.25">
      <c r="A7" s="102" t="s">
        <v>138</v>
      </c>
      <c r="B7" s="115">
        <f>+'PRIVADO COMPLETO'!O9</f>
        <v>67000000</v>
      </c>
      <c r="C7" s="94"/>
    </row>
    <row r="8" spans="1:3" x14ac:dyDescent="0.25">
      <c r="A8" s="102" t="s">
        <v>139</v>
      </c>
      <c r="B8" s="115">
        <f>+'PRIVADO COMPLETO'!O10</f>
        <v>65500000</v>
      </c>
      <c r="C8" s="94"/>
    </row>
    <row r="9" spans="1:3" x14ac:dyDescent="0.25">
      <c r="A9" s="102" t="s">
        <v>564</v>
      </c>
      <c r="B9" s="115">
        <f>+'PRIVADO COMPLETO'!O11</f>
        <v>0</v>
      </c>
      <c r="C9" s="94"/>
    </row>
    <row r="10" spans="1:3" x14ac:dyDescent="0.25">
      <c r="A10" s="102" t="s">
        <v>143</v>
      </c>
      <c r="B10" s="115">
        <f>+'PRIVADO COMPLETO'!O15</f>
        <v>59461600</v>
      </c>
      <c r="C10" s="94"/>
    </row>
    <row r="11" spans="1:3" ht="8.25" customHeight="1" x14ac:dyDescent="0.25">
      <c r="A11" s="102"/>
      <c r="B11" s="115"/>
      <c r="C11" s="94"/>
    </row>
    <row r="12" spans="1:3" s="93" customFormat="1" x14ac:dyDescent="0.25">
      <c r="A12" s="100" t="s">
        <v>148</v>
      </c>
      <c r="B12" s="101">
        <f>SUM(B13:B16)</f>
        <v>224177748.19999999</v>
      </c>
      <c r="C12" s="94"/>
    </row>
    <row r="13" spans="1:3" x14ac:dyDescent="0.25">
      <c r="A13" s="102" t="s">
        <v>88</v>
      </c>
      <c r="B13" s="115">
        <f>+'PRIVADO COMPLETO'!O26</f>
        <v>955748.19999999984</v>
      </c>
      <c r="C13" s="94"/>
    </row>
    <row r="14" spans="1:3" x14ac:dyDescent="0.25">
      <c r="A14" s="102" t="s">
        <v>7</v>
      </c>
      <c r="B14" s="115">
        <f>+'PRIVADO COMPLETO'!O29</f>
        <v>192096000</v>
      </c>
      <c r="C14" s="94"/>
    </row>
    <row r="15" spans="1:3" x14ac:dyDescent="0.25">
      <c r="A15" s="102" t="s">
        <v>22</v>
      </c>
      <c r="B15" s="115">
        <f>+'PRIVADO COMPLETO'!O39</f>
        <v>26850000</v>
      </c>
      <c r="C15" s="94"/>
    </row>
    <row r="16" spans="1:3" ht="13" thickBot="1" x14ac:dyDescent="0.3">
      <c r="A16" s="103" t="s">
        <v>290</v>
      </c>
      <c r="B16" s="116">
        <f>+'PRIVADO COMPLETO'!O44</f>
        <v>4276000</v>
      </c>
      <c r="C16" s="94"/>
    </row>
    <row r="17" spans="1:3" ht="10.5" customHeight="1" thickBot="1" x14ac:dyDescent="0.3">
      <c r="C17" s="94"/>
    </row>
    <row r="18" spans="1:3" s="93" customFormat="1" x14ac:dyDescent="0.25">
      <c r="A18" s="98" t="s">
        <v>112</v>
      </c>
      <c r="B18" s="99">
        <f>+B19+B33</f>
        <v>400939409.48199999</v>
      </c>
      <c r="C18" s="94"/>
    </row>
    <row r="19" spans="1:3" s="93" customFormat="1" x14ac:dyDescent="0.25">
      <c r="A19" s="100" t="s">
        <v>113</v>
      </c>
      <c r="B19" s="101">
        <f>SUM(B20:B31)</f>
        <v>370622409.48199999</v>
      </c>
      <c r="C19" s="94"/>
    </row>
    <row r="20" spans="1:3" x14ac:dyDescent="0.25">
      <c r="A20" s="102" t="s">
        <v>126</v>
      </c>
      <c r="B20" s="115">
        <f>+'PRIVADO COMPLETO'!O54</f>
        <v>90865000</v>
      </c>
      <c r="C20" s="94"/>
    </row>
    <row r="21" spans="1:3" x14ac:dyDescent="0.25">
      <c r="A21" s="102" t="s">
        <v>1</v>
      </c>
      <c r="B21" s="115">
        <f>+'PRIVADO COMPLETO'!O75</f>
        <v>32435000</v>
      </c>
      <c r="C21" s="94"/>
    </row>
    <row r="22" spans="1:3" x14ac:dyDescent="0.25">
      <c r="A22" s="102" t="s">
        <v>5</v>
      </c>
      <c r="B22" s="115">
        <f>+'PRIVADO COMPLETO'!O80</f>
        <v>2704016</v>
      </c>
      <c r="C22" s="94"/>
    </row>
    <row r="23" spans="1:3" x14ac:dyDescent="0.25">
      <c r="A23" s="102" t="s">
        <v>7</v>
      </c>
      <c r="B23" s="115">
        <f>+'PRIVADO COMPLETO'!O84</f>
        <v>2948000</v>
      </c>
      <c r="C23" s="94"/>
    </row>
    <row r="24" spans="1:3" x14ac:dyDescent="0.25">
      <c r="A24" s="102" t="s">
        <v>114</v>
      </c>
      <c r="B24" s="115">
        <f>+'PRIVADO COMPLETO'!O88</f>
        <v>13425393.482000001</v>
      </c>
      <c r="C24" s="94"/>
    </row>
    <row r="25" spans="1:3" x14ac:dyDescent="0.25">
      <c r="A25" s="102" t="s">
        <v>13</v>
      </c>
      <c r="B25" s="115">
        <f>+'PRIVADO COMPLETO'!O96</f>
        <v>3938000</v>
      </c>
      <c r="C25" s="94"/>
    </row>
    <row r="26" spans="1:3" x14ac:dyDescent="0.25">
      <c r="A26" s="102" t="s">
        <v>22</v>
      </c>
      <c r="B26" s="115">
        <f>+'PRIVADO COMPLETO'!O105</f>
        <v>54993000</v>
      </c>
      <c r="C26" s="94"/>
    </row>
    <row r="27" spans="1:3" x14ac:dyDescent="0.25">
      <c r="A27" s="102" t="s">
        <v>50</v>
      </c>
      <c r="B27" s="115">
        <f>+'PRIVADO COMPLETO'!O155</f>
        <v>8319000</v>
      </c>
      <c r="C27" s="94"/>
    </row>
    <row r="28" spans="1:3" x14ac:dyDescent="0.25">
      <c r="A28" s="102" t="s">
        <v>57</v>
      </c>
      <c r="B28" s="115">
        <f>+'PRIVADO COMPLETO'!O169</f>
        <v>11605000</v>
      </c>
      <c r="C28" s="94"/>
    </row>
    <row r="29" spans="1:3" x14ac:dyDescent="0.25">
      <c r="A29" s="102" t="s">
        <v>58</v>
      </c>
      <c r="B29" s="115">
        <f>+'PRIVADO COMPLETO'!O183</f>
        <v>88800000</v>
      </c>
      <c r="C29" s="94"/>
    </row>
    <row r="30" spans="1:3" x14ac:dyDescent="0.25">
      <c r="A30" s="104" t="s">
        <v>67</v>
      </c>
      <c r="B30" s="117">
        <f>+'PRIVADO COMPLETO'!O187</f>
        <v>0</v>
      </c>
      <c r="C30" s="94"/>
    </row>
    <row r="31" spans="1:3" ht="13" thickBot="1" x14ac:dyDescent="0.3">
      <c r="A31" s="103" t="s">
        <v>71</v>
      </c>
      <c r="B31" s="116">
        <f>+'PRIVADO COMPLETO'!O190</f>
        <v>60590000</v>
      </c>
      <c r="C31" s="94"/>
    </row>
    <row r="32" spans="1:3" ht="10.5" customHeight="1" thickBot="1" x14ac:dyDescent="0.3">
      <c r="A32" s="105"/>
      <c r="B32" s="106"/>
      <c r="C32" s="94"/>
    </row>
    <row r="33" spans="1:3" s="93" customFormat="1" x14ac:dyDescent="0.25">
      <c r="A33" s="98" t="s">
        <v>87</v>
      </c>
      <c r="B33" s="99">
        <f>+B34</f>
        <v>30317000</v>
      </c>
      <c r="C33" s="94"/>
    </row>
    <row r="34" spans="1:3" ht="13" thickBot="1" x14ac:dyDescent="0.3">
      <c r="A34" s="103" t="s">
        <v>88</v>
      </c>
      <c r="B34" s="116">
        <f>+'PRIVADO COMPLETO'!O229</f>
        <v>30317000</v>
      </c>
      <c r="C34" s="94"/>
    </row>
    <row r="35" spans="1:3" s="107" customFormat="1" ht="9.75" customHeight="1" thickBot="1" x14ac:dyDescent="0.3">
      <c r="A35" s="107" t="s">
        <v>92</v>
      </c>
      <c r="B35" s="108"/>
      <c r="C35" s="94"/>
    </row>
    <row r="36" spans="1:3" s="93" customFormat="1" ht="13" thickBot="1" x14ac:dyDescent="0.3">
      <c r="A36" s="118" t="s">
        <v>158</v>
      </c>
      <c r="B36" s="119">
        <f>+B5-B18</f>
        <v>15199938.717999995</v>
      </c>
      <c r="C36" s="94"/>
    </row>
    <row r="37" spans="1:3" x14ac:dyDescent="0.25">
      <c r="C37" s="9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44"/>
  <sheetViews>
    <sheetView showGridLines="0" topLeftCell="A20" workbookViewId="0">
      <selection activeCell="B41" sqref="B41"/>
    </sheetView>
  </sheetViews>
  <sheetFormatPr baseColWidth="10" defaultColWidth="25.26953125" defaultRowHeight="12.5" x14ac:dyDescent="0.25"/>
  <cols>
    <col min="1" max="1" width="33.453125" style="81" customWidth="1"/>
    <col min="2" max="2" width="19" style="95" bestFit="1" customWidth="1"/>
    <col min="3" max="3" width="17.7265625" style="95" bestFit="1" customWidth="1"/>
    <col min="4" max="4" width="16" style="95" customWidth="1"/>
    <col min="5" max="5" width="13.26953125" style="95" customWidth="1"/>
    <col min="6" max="16384" width="25.26953125" style="81"/>
  </cols>
  <sheetData>
    <row r="1" spans="1:7" s="93" customFormat="1" x14ac:dyDescent="0.25">
      <c r="A1" s="93" t="s">
        <v>0</v>
      </c>
      <c r="B1" s="94"/>
      <c r="C1" s="94"/>
      <c r="D1" s="94"/>
      <c r="E1" s="94"/>
    </row>
    <row r="2" spans="1:7" s="93" customFormat="1" x14ac:dyDescent="0.25">
      <c r="A2" s="93" t="s">
        <v>829</v>
      </c>
      <c r="B2" s="94"/>
      <c r="C2" s="94"/>
      <c r="D2" s="94"/>
      <c r="E2" s="94"/>
    </row>
    <row r="3" spans="1:7" s="93" customFormat="1" x14ac:dyDescent="0.25">
      <c r="B3" s="94"/>
      <c r="C3" s="94"/>
      <c r="D3" s="94"/>
      <c r="E3" s="94"/>
    </row>
    <row r="4" spans="1:7" ht="25" x14ac:dyDescent="0.25">
      <c r="B4" s="354" t="s">
        <v>830</v>
      </c>
      <c r="C4" s="354" t="s">
        <v>831</v>
      </c>
      <c r="D4" s="354" t="s">
        <v>260</v>
      </c>
      <c r="E4" s="354" t="s">
        <v>308</v>
      </c>
    </row>
    <row r="5" spans="1:7" s="93" customFormat="1" x14ac:dyDescent="0.25">
      <c r="A5" s="351" t="s">
        <v>172</v>
      </c>
      <c r="B5" s="352">
        <f>+B6+B18</f>
        <v>2760882343.5690656</v>
      </c>
      <c r="C5" s="352">
        <f t="shared" ref="C5:D5" si="0">+C6+C18</f>
        <v>2468272504.2862959</v>
      </c>
      <c r="D5" s="352">
        <f t="shared" si="0"/>
        <v>280069839.2827701</v>
      </c>
      <c r="E5" s="353">
        <f>+(B5-C5)/C5</f>
        <v>0.11854843368170898</v>
      </c>
      <c r="F5" s="109"/>
    </row>
    <row r="6" spans="1:7" s="93" customFormat="1" x14ac:dyDescent="0.25">
      <c r="A6" s="355" t="s">
        <v>173</v>
      </c>
      <c r="B6" s="356">
        <f>SUM(B7:B16)</f>
        <v>2722747475.5830655</v>
      </c>
      <c r="C6" s="356">
        <f t="shared" ref="C6:D6" si="1">SUM(C7:C15)</f>
        <v>2416263519.2862959</v>
      </c>
      <c r="D6" s="356">
        <f t="shared" si="1"/>
        <v>293943956.2967701</v>
      </c>
      <c r="E6" s="357">
        <f>+(B6-C6)/C6</f>
        <v>0.12684210718344882</v>
      </c>
      <c r="F6" s="110"/>
      <c r="G6" s="111"/>
    </row>
    <row r="7" spans="1:7" x14ac:dyDescent="0.25">
      <c r="A7" s="82" t="s">
        <v>174</v>
      </c>
      <c r="B7" s="83">
        <f>+'PUBLICO COMPLETO'!O9</f>
        <v>220512493.18604255</v>
      </c>
      <c r="C7" s="83">
        <f>+'PUBLICO COMPLETO'!B9</f>
        <v>217032522.73141426</v>
      </c>
      <c r="D7" s="83">
        <f>+B7-C7</f>
        <v>3479970.4546282887</v>
      </c>
      <c r="E7" s="268">
        <f>+(B7-C7)/C7</f>
        <v>1.6034327071500157E-2</v>
      </c>
      <c r="F7" s="112"/>
    </row>
    <row r="8" spans="1:7" x14ac:dyDescent="0.25">
      <c r="A8" s="82" t="s">
        <v>177</v>
      </c>
      <c r="B8" s="83">
        <f>+'PUBLICO COMPLETO'!O13</f>
        <v>1976568764.426229</v>
      </c>
      <c r="C8" s="83">
        <f>+'PUBLICO COMPLETO'!B13</f>
        <v>1734264016.7488751</v>
      </c>
      <c r="D8" s="83">
        <f t="shared" ref="D8:D15" si="2">+B8-C8</f>
        <v>242304747.67735386</v>
      </c>
      <c r="E8" s="268">
        <f t="shared" ref="E8:E15" si="3">+(B8-C8)/C8</f>
        <v>0.13971618239049244</v>
      </c>
    </row>
    <row r="9" spans="1:7" x14ac:dyDescent="0.25">
      <c r="A9" s="82" t="s">
        <v>180</v>
      </c>
      <c r="B9" s="83">
        <f>+'PUBLICO COMPLETO'!O18</f>
        <v>65105535.55702991</v>
      </c>
      <c r="C9" s="83">
        <f>+'PUBLICO COMPLETO'!B18</f>
        <v>58635500.501828745</v>
      </c>
      <c r="D9" s="83">
        <f t="shared" si="2"/>
        <v>6470035.0552011654</v>
      </c>
      <c r="E9" s="268">
        <f t="shared" si="3"/>
        <v>0.11034330737910859</v>
      </c>
    </row>
    <row r="10" spans="1:7" x14ac:dyDescent="0.25">
      <c r="A10" s="82" t="s">
        <v>191</v>
      </c>
      <c r="B10" s="83">
        <f>+'PUBLICO COMPLETO'!O30</f>
        <v>65687063.68</v>
      </c>
      <c r="C10" s="83">
        <f>+'PUBLICO COMPLETO'!B30</f>
        <v>58649164</v>
      </c>
      <c r="D10" s="83">
        <f t="shared" si="2"/>
        <v>7037899.6799999997</v>
      </c>
      <c r="E10" s="268">
        <f t="shared" si="3"/>
        <v>0.12</v>
      </c>
    </row>
    <row r="11" spans="1:7" x14ac:dyDescent="0.25">
      <c r="A11" s="82" t="s">
        <v>193</v>
      </c>
      <c r="B11" s="83">
        <f>+'PUBLICO COMPLETO'!O32</f>
        <v>115333666.99598719</v>
      </c>
      <c r="C11" s="83">
        <f>+'PUBLICO COMPLETO'!B32</f>
        <v>102065192.03184704</v>
      </c>
      <c r="D11" s="83">
        <f t="shared" si="2"/>
        <v>13268474.964140147</v>
      </c>
      <c r="E11" s="268">
        <f t="shared" si="3"/>
        <v>0.13000000000000031</v>
      </c>
    </row>
    <row r="12" spans="1:7" x14ac:dyDescent="0.25">
      <c r="A12" s="82" t="s">
        <v>198</v>
      </c>
      <c r="B12" s="83">
        <f>+'PUBLICO COMPLETO'!O37</f>
        <v>19536</v>
      </c>
      <c r="C12" s="83">
        <f>+'PUBLICO COMPLETO'!B37</f>
        <v>17600</v>
      </c>
      <c r="D12" s="83">
        <f t="shared" si="2"/>
        <v>1936</v>
      </c>
      <c r="E12" s="268">
        <f t="shared" si="3"/>
        <v>0.11</v>
      </c>
    </row>
    <row r="13" spans="1:7" x14ac:dyDescent="0.25">
      <c r="A13" s="82" t="s">
        <v>357</v>
      </c>
      <c r="B13" s="83">
        <v>0</v>
      </c>
      <c r="C13" s="83">
        <f>+'PUBLICO COMPLETO'!B49</f>
        <v>0</v>
      </c>
      <c r="D13" s="83">
        <f t="shared" ref="D13" si="4">+B13-C13</f>
        <v>0</v>
      </c>
      <c r="E13" s="268">
        <v>0</v>
      </c>
    </row>
    <row r="14" spans="1:7" x14ac:dyDescent="0.25">
      <c r="A14" s="82" t="s">
        <v>310</v>
      </c>
      <c r="B14" s="83">
        <f>+'PUBLICO COMPLETO'!O39</f>
        <v>63863957.737777203</v>
      </c>
      <c r="C14" s="83">
        <f>+'PUBLICO COMPLETO'!B39</f>
        <v>62611723.27233059</v>
      </c>
      <c r="D14" s="83">
        <f t="shared" si="2"/>
        <v>1252234.4654466137</v>
      </c>
      <c r="E14" s="268">
        <f t="shared" si="3"/>
        <v>2.0000000000000032E-2</v>
      </c>
    </row>
    <row r="15" spans="1:7" x14ac:dyDescent="0.25">
      <c r="A15" s="82" t="s">
        <v>311</v>
      </c>
      <c r="B15" s="83">
        <f>+'PUBLICO COMPLETO'!O44</f>
        <v>203116458</v>
      </c>
      <c r="C15" s="83">
        <f>+'PUBLICO COMPLETO'!B44</f>
        <v>182987800</v>
      </c>
      <c r="D15" s="83">
        <f t="shared" si="2"/>
        <v>20128658</v>
      </c>
      <c r="E15" s="268">
        <f t="shared" si="3"/>
        <v>0.11</v>
      </c>
    </row>
    <row r="16" spans="1:7" x14ac:dyDescent="0.25">
      <c r="A16" s="82" t="s">
        <v>916</v>
      </c>
      <c r="B16" s="83">
        <f>+'PUBLICO COMPLETO'!O51</f>
        <v>12540000</v>
      </c>
      <c r="C16" s="83">
        <v>0</v>
      </c>
      <c r="D16" s="83">
        <f t="shared" ref="D16" si="5">+B16-C16</f>
        <v>12540000</v>
      </c>
      <c r="E16" s="268">
        <v>1</v>
      </c>
    </row>
    <row r="17" spans="1:5" s="107" customFormat="1" ht="10.5" customHeight="1" x14ac:dyDescent="0.25">
      <c r="B17" s="108"/>
      <c r="C17" s="108"/>
      <c r="D17" s="108"/>
      <c r="E17" s="108"/>
    </row>
    <row r="18" spans="1:5" s="93" customFormat="1" x14ac:dyDescent="0.25">
      <c r="A18" s="355" t="s">
        <v>209</v>
      </c>
      <c r="B18" s="356">
        <f>+SUM(B19:B21)</f>
        <v>38134867.986000001</v>
      </c>
      <c r="C18" s="356">
        <f>+SUM(C19:C21)</f>
        <v>52008985</v>
      </c>
      <c r="D18" s="356">
        <f>+SUM(D19:D21)</f>
        <v>-13874117.013999995</v>
      </c>
      <c r="E18" s="357">
        <f>+(B18-C18)/C18</f>
        <v>-0.26676384886188415</v>
      </c>
    </row>
    <row r="19" spans="1:5" x14ac:dyDescent="0.25">
      <c r="A19" s="82" t="s">
        <v>312</v>
      </c>
      <c r="B19" s="83">
        <f>+'PUBLICO COMPLETO'!O56</f>
        <v>25008867.986000005</v>
      </c>
      <c r="C19" s="83">
        <f>+'PUBLICO COMPLETO'!B56</f>
        <v>24000000</v>
      </c>
      <c r="D19" s="83">
        <f t="shared" ref="D19:D20" si="6">+B19-C19</f>
        <v>1008867.9860000052</v>
      </c>
      <c r="E19" s="268">
        <f t="shared" ref="E19:E20" si="7">+(B19-C19)/C19</f>
        <v>4.2036166083333548E-2</v>
      </c>
    </row>
    <row r="20" spans="1:5" x14ac:dyDescent="0.25">
      <c r="A20" s="82" t="s">
        <v>893</v>
      </c>
      <c r="B20" s="83">
        <f>+'PUBLICO COMPLETO'!O57</f>
        <v>3126000</v>
      </c>
      <c r="C20" s="83">
        <f>+'PUBLICO COMPLETO'!B57</f>
        <v>3000000</v>
      </c>
      <c r="D20" s="83">
        <f t="shared" si="6"/>
        <v>126000</v>
      </c>
      <c r="E20" s="268">
        <f t="shared" si="7"/>
        <v>4.2000000000000003E-2</v>
      </c>
    </row>
    <row r="21" spans="1:5" x14ac:dyDescent="0.25">
      <c r="A21" s="82" t="s">
        <v>407</v>
      </c>
      <c r="B21" s="83">
        <f>+'PUBLICO COMPLETO'!O59</f>
        <v>10000000</v>
      </c>
      <c r="C21" s="83">
        <f>+'PUBLICO COMPLETO'!B59+'PUBLICO COMPLETO'!B58</f>
        <v>25008985</v>
      </c>
      <c r="D21" s="83">
        <f t="shared" ref="D21" si="8">+B21-C21</f>
        <v>-15008985</v>
      </c>
      <c r="E21" s="268">
        <f t="shared" ref="E21" si="9">+(B21-C21)/C21</f>
        <v>-0.60014370835121855</v>
      </c>
    </row>
    <row r="22" spans="1:5" x14ac:dyDescent="0.25">
      <c r="A22" s="107"/>
      <c r="B22" s="108"/>
      <c r="C22" s="108"/>
      <c r="D22" s="108"/>
      <c r="E22" s="125"/>
    </row>
    <row r="23" spans="1:5" ht="25" x14ac:dyDescent="0.25">
      <c r="B23" s="354" t="s">
        <v>830</v>
      </c>
      <c r="C23" s="354" t="s">
        <v>831</v>
      </c>
      <c r="D23" s="354" t="s">
        <v>260</v>
      </c>
      <c r="E23" s="354" t="s">
        <v>308</v>
      </c>
    </row>
    <row r="24" spans="1:5" s="93" customFormat="1" x14ac:dyDescent="0.25">
      <c r="A24" s="351" t="s">
        <v>112</v>
      </c>
      <c r="B24" s="352">
        <f>+B25+B40</f>
        <v>2638671560.4356909</v>
      </c>
      <c r="C24" s="352">
        <f t="shared" ref="C24:D24" si="10">+C25+C40</f>
        <v>2368434238</v>
      </c>
      <c r="D24" s="352">
        <f t="shared" si="10"/>
        <v>270237322.43569064</v>
      </c>
      <c r="E24" s="353">
        <f>+(B24-C24)/C24</f>
        <v>0.11409956759613897</v>
      </c>
    </row>
    <row r="25" spans="1:5" s="93" customFormat="1" x14ac:dyDescent="0.25">
      <c r="A25" s="355" t="s">
        <v>113</v>
      </c>
      <c r="B25" s="356">
        <f>SUM(B26:B38)</f>
        <v>2621331560.4356909</v>
      </c>
      <c r="C25" s="356">
        <f t="shared" ref="C25:D25" si="11">SUM(C26:C38)</f>
        <v>2351785238</v>
      </c>
      <c r="D25" s="356">
        <f t="shared" si="11"/>
        <v>269546322.43569064</v>
      </c>
      <c r="E25" s="357">
        <f>+(B25-C25)/C25</f>
        <v>0.11461349364745475</v>
      </c>
    </row>
    <row r="26" spans="1:5" x14ac:dyDescent="0.25">
      <c r="A26" s="82" t="s">
        <v>126</v>
      </c>
      <c r="B26" s="83">
        <f>+'PUBLICO COMPLETO'!O66</f>
        <v>1465989800</v>
      </c>
      <c r="C26" s="83">
        <f>+'PUBLICO COMPLETO'!B66</f>
        <v>1311935319</v>
      </c>
      <c r="D26" s="83">
        <f t="shared" ref="D26:D38" si="12">+B26-C26</f>
        <v>154054481</v>
      </c>
      <c r="E26" s="268">
        <f t="shared" ref="E26:E38" si="13">+(B26-C26)/C26</f>
        <v>0.11742536294961962</v>
      </c>
    </row>
    <row r="27" spans="1:5" x14ac:dyDescent="0.25">
      <c r="A27" s="82" t="s">
        <v>1</v>
      </c>
      <c r="B27" s="83">
        <f>+'PUBLICO COMPLETO'!O85</f>
        <v>151934000</v>
      </c>
      <c r="C27" s="83">
        <f>+'PUBLICO COMPLETO'!B85</f>
        <v>120500000</v>
      </c>
      <c r="D27" s="83">
        <f t="shared" si="12"/>
        <v>31434000</v>
      </c>
      <c r="E27" s="268">
        <f t="shared" si="13"/>
        <v>0.2608630705394191</v>
      </c>
    </row>
    <row r="28" spans="1:5" x14ac:dyDescent="0.25">
      <c r="A28" s="82" t="s">
        <v>5</v>
      </c>
      <c r="B28" s="83">
        <f>+'PUBLICO COMPLETO'!O107</f>
        <v>81572000</v>
      </c>
      <c r="C28" s="83">
        <f>+'PUBLICO COMPLETO'!B107</f>
        <v>78281257</v>
      </c>
      <c r="D28" s="83">
        <f t="shared" si="12"/>
        <v>3290743</v>
      </c>
      <c r="E28" s="268">
        <f t="shared" si="13"/>
        <v>4.2037431769906299E-2</v>
      </c>
    </row>
    <row r="29" spans="1:5" x14ac:dyDescent="0.25">
      <c r="A29" s="82" t="s">
        <v>7</v>
      </c>
      <c r="B29" s="83">
        <f>+'PUBLICO COMPLETO'!O114</f>
        <v>112393000</v>
      </c>
      <c r="C29" s="83">
        <f>+'PUBLICO COMPLETO'!B114</f>
        <v>106352000</v>
      </c>
      <c r="D29" s="83">
        <f t="shared" si="12"/>
        <v>6041000</v>
      </c>
      <c r="E29" s="268">
        <f t="shared" si="13"/>
        <v>5.6801940725139159E-2</v>
      </c>
    </row>
    <row r="30" spans="1:5" x14ac:dyDescent="0.25">
      <c r="A30" s="82" t="s">
        <v>114</v>
      </c>
      <c r="B30" s="83">
        <f>+'PUBLICO COMPLETO'!O134</f>
        <v>126541823.43569066</v>
      </c>
      <c r="C30" s="83">
        <f>+'PUBLICO COMPLETO'!B134</f>
        <v>114608800</v>
      </c>
      <c r="D30" s="83">
        <f t="shared" si="12"/>
        <v>11933023.435690656</v>
      </c>
      <c r="E30" s="268">
        <f t="shared" si="13"/>
        <v>0.1041196089278542</v>
      </c>
    </row>
    <row r="31" spans="1:5" x14ac:dyDescent="0.25">
      <c r="A31" s="82" t="s">
        <v>13</v>
      </c>
      <c r="B31" s="83">
        <f>+'PUBLICO COMPLETO'!O156</f>
        <v>18488000</v>
      </c>
      <c r="C31" s="83">
        <f>+'PUBLICO COMPLETO'!B156</f>
        <v>17742000</v>
      </c>
      <c r="D31" s="83">
        <f t="shared" si="12"/>
        <v>746000</v>
      </c>
      <c r="E31" s="268">
        <f t="shared" si="13"/>
        <v>4.2047119828655166E-2</v>
      </c>
    </row>
    <row r="32" spans="1:5" x14ac:dyDescent="0.25">
      <c r="A32" s="82" t="s">
        <v>22</v>
      </c>
      <c r="B32" s="83">
        <f>+'PUBLICO COMPLETO'!O169</f>
        <v>271826000</v>
      </c>
      <c r="C32" s="83">
        <f>+'PUBLICO COMPLETO'!B169</f>
        <v>241933014</v>
      </c>
      <c r="D32" s="83">
        <f t="shared" si="12"/>
        <v>29892986</v>
      </c>
      <c r="E32" s="268">
        <f t="shared" si="13"/>
        <v>0.12355893685514123</v>
      </c>
    </row>
    <row r="33" spans="1:5" x14ac:dyDescent="0.25">
      <c r="A33" s="82" t="s">
        <v>48</v>
      </c>
      <c r="B33" s="83">
        <f>+'PUBLICO COMPLETO'!O275</f>
        <v>86000</v>
      </c>
      <c r="C33" s="83">
        <f>+'PUBLICO COMPLETO'!B275</f>
        <v>30000</v>
      </c>
      <c r="D33" s="83">
        <f t="shared" si="12"/>
        <v>56000</v>
      </c>
      <c r="E33" s="268">
        <v>0</v>
      </c>
    </row>
    <row r="34" spans="1:5" x14ac:dyDescent="0.25">
      <c r="A34" s="82" t="s">
        <v>50</v>
      </c>
      <c r="B34" s="83">
        <f>+'PUBLICO COMPLETO'!O277</f>
        <v>73696937</v>
      </c>
      <c r="C34" s="83">
        <f>+'PUBLICO COMPLETO'!B277</f>
        <v>87469400</v>
      </c>
      <c r="D34" s="83">
        <f t="shared" si="12"/>
        <v>-13772463</v>
      </c>
      <c r="E34" s="268">
        <f t="shared" si="13"/>
        <v>-0.15745464128026487</v>
      </c>
    </row>
    <row r="35" spans="1:5" x14ac:dyDescent="0.25">
      <c r="A35" s="82" t="s">
        <v>57</v>
      </c>
      <c r="B35" s="83">
        <f>+'PUBLICO COMPLETO'!O315</f>
        <v>100931000</v>
      </c>
      <c r="C35" s="83">
        <f>+'PUBLICO COMPLETO'!B315</f>
        <v>78070200</v>
      </c>
      <c r="D35" s="83">
        <f t="shared" si="12"/>
        <v>22860800</v>
      </c>
      <c r="E35" s="268">
        <f t="shared" si="13"/>
        <v>0.29282363821278795</v>
      </c>
    </row>
    <row r="36" spans="1:5" x14ac:dyDescent="0.25">
      <c r="A36" s="82" t="s">
        <v>58</v>
      </c>
      <c r="B36" s="83">
        <f>+'PUBLICO COMPLETO'!O363</f>
        <v>90408000</v>
      </c>
      <c r="C36" s="83">
        <f>+'PUBLICO COMPLETO'!B363</f>
        <v>97000000</v>
      </c>
      <c r="D36" s="83">
        <f t="shared" si="12"/>
        <v>-6592000</v>
      </c>
      <c r="E36" s="268">
        <f t="shared" si="13"/>
        <v>-6.795876288659794E-2</v>
      </c>
    </row>
    <row r="37" spans="1:5" x14ac:dyDescent="0.25">
      <c r="A37" s="82" t="s">
        <v>67</v>
      </c>
      <c r="B37" s="83">
        <f>+'PUBLICO COMPLETO'!O369</f>
        <v>24986000</v>
      </c>
      <c r="C37" s="83">
        <f>+'PUBLICO COMPLETO'!B369</f>
        <v>13421600</v>
      </c>
      <c r="D37" s="83">
        <f t="shared" si="12"/>
        <v>11564400</v>
      </c>
      <c r="E37" s="268">
        <f t="shared" si="13"/>
        <v>0.8616260356440365</v>
      </c>
    </row>
    <row r="38" spans="1:5" x14ac:dyDescent="0.25">
      <c r="A38" s="82" t="s">
        <v>71</v>
      </c>
      <c r="B38" s="83">
        <f>+'PUBLICO COMPLETO'!O379</f>
        <v>102479000</v>
      </c>
      <c r="C38" s="83">
        <f>+'PUBLICO COMPLETO'!B379</f>
        <v>84441648</v>
      </c>
      <c r="D38" s="83">
        <f t="shared" si="12"/>
        <v>18037352</v>
      </c>
      <c r="E38" s="268">
        <f t="shared" si="13"/>
        <v>0.2136072948268371</v>
      </c>
    </row>
    <row r="39" spans="1:5" ht="11.25" customHeight="1" x14ac:dyDescent="0.25">
      <c r="A39" s="105"/>
      <c r="B39" s="106"/>
    </row>
    <row r="40" spans="1:5" x14ac:dyDescent="0.25">
      <c r="A40" s="355" t="s">
        <v>87</v>
      </c>
      <c r="B40" s="356">
        <f>+B41+B42</f>
        <v>17340000</v>
      </c>
      <c r="C40" s="356">
        <f>+C41+C42</f>
        <v>16649000</v>
      </c>
      <c r="D40" s="356">
        <f>+D41+D42</f>
        <v>691000</v>
      </c>
      <c r="E40" s="357">
        <f>+(B40-C40)/C40</f>
        <v>4.1503994233887918E-2</v>
      </c>
    </row>
    <row r="41" spans="1:5" x14ac:dyDescent="0.25">
      <c r="A41" s="82" t="s">
        <v>88</v>
      </c>
      <c r="B41" s="83">
        <f>+'PUBLICO COMPLETO'!O443</f>
        <v>17136000</v>
      </c>
      <c r="C41" s="83">
        <f>+'PUBLICO COMPLETO'!B443</f>
        <v>16449000</v>
      </c>
      <c r="D41" s="83">
        <f t="shared" ref="D41:D42" si="14">+B41-C41</f>
        <v>687000</v>
      </c>
      <c r="E41" s="268">
        <f t="shared" ref="E41:E42" si="15">+(B41-C41)/C41</f>
        <v>4.1765456866678825E-2</v>
      </c>
    </row>
    <row r="42" spans="1:5" x14ac:dyDescent="0.25">
      <c r="A42" s="270" t="s">
        <v>291</v>
      </c>
      <c r="B42" s="83">
        <f>+'PUBLICO COMPLETO'!O448</f>
        <v>204000</v>
      </c>
      <c r="C42" s="83">
        <f>+'PUBLICO COMPLETO'!B448</f>
        <v>200000</v>
      </c>
      <c r="D42" s="83">
        <f t="shared" si="14"/>
        <v>4000</v>
      </c>
      <c r="E42" s="268">
        <f t="shared" si="15"/>
        <v>0.02</v>
      </c>
    </row>
    <row r="43" spans="1:5" ht="8.25" customHeight="1" x14ac:dyDescent="0.25">
      <c r="A43" s="81" t="s">
        <v>92</v>
      </c>
    </row>
    <row r="44" spans="1:5" x14ac:dyDescent="0.25">
      <c r="A44" s="351" t="s">
        <v>171</v>
      </c>
      <c r="B44" s="352">
        <f>+B5-B24</f>
        <v>122210783.13337469</v>
      </c>
      <c r="C44" s="352">
        <f>+C5-C24</f>
        <v>99838266.286295891</v>
      </c>
      <c r="D44" s="352">
        <f>+D5-D24</f>
        <v>9832516.8470794559</v>
      </c>
      <c r="E44" s="353">
        <f>+(B44-C44)/C44</f>
        <v>0.22408759365796119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E39"/>
  <sheetViews>
    <sheetView showGridLines="0" topLeftCell="A19" workbookViewId="0">
      <selection activeCell="A18" sqref="A18:E39"/>
    </sheetView>
  </sheetViews>
  <sheetFormatPr baseColWidth="10" defaultColWidth="24.453125" defaultRowHeight="12.5" x14ac:dyDescent="0.25"/>
  <cols>
    <col min="1" max="1" width="33.1796875" style="81" customWidth="1"/>
    <col min="2" max="2" width="19" style="95" bestFit="1" customWidth="1"/>
    <col min="3" max="3" width="15.81640625" style="81" bestFit="1" customWidth="1"/>
    <col min="4" max="4" width="14.7265625" style="81" bestFit="1" customWidth="1"/>
    <col min="5" max="5" width="13.54296875" style="95" customWidth="1"/>
    <col min="6" max="16384" width="24.453125" style="81"/>
  </cols>
  <sheetData>
    <row r="1" spans="1:5" s="93" customFormat="1" x14ac:dyDescent="0.25">
      <c r="A1" s="93" t="s">
        <v>0</v>
      </c>
      <c r="B1" s="94"/>
      <c r="E1" s="94"/>
    </row>
    <row r="2" spans="1:5" s="93" customFormat="1" x14ac:dyDescent="0.25">
      <c r="A2" s="93" t="s">
        <v>672</v>
      </c>
      <c r="B2" s="94"/>
      <c r="E2" s="94"/>
    </row>
    <row r="4" spans="1:5" s="96" customFormat="1" ht="33.75" customHeight="1" x14ac:dyDescent="0.25">
      <c r="B4" s="358" t="s">
        <v>830</v>
      </c>
      <c r="C4" s="358" t="s">
        <v>831</v>
      </c>
      <c r="D4" s="358" t="s">
        <v>260</v>
      </c>
      <c r="E4" s="359" t="s">
        <v>308</v>
      </c>
    </row>
    <row r="5" spans="1:5" s="93" customFormat="1" x14ac:dyDescent="0.25">
      <c r="A5" s="351" t="s">
        <v>136</v>
      </c>
      <c r="B5" s="352">
        <f>+B6+B12</f>
        <v>416139348.19999999</v>
      </c>
      <c r="C5" s="352">
        <f>+C6+C12</f>
        <v>382292018</v>
      </c>
      <c r="D5" s="352">
        <f>+D6+D12</f>
        <v>33847330.200000003</v>
      </c>
      <c r="E5" s="353">
        <f>+(B5-C5)/C5</f>
        <v>8.8537894087027447E-2</v>
      </c>
    </row>
    <row r="6" spans="1:5" s="93" customFormat="1" x14ac:dyDescent="0.25">
      <c r="A6" s="355" t="s">
        <v>137</v>
      </c>
      <c r="B6" s="356">
        <f>SUM(B7:B10)</f>
        <v>191961600</v>
      </c>
      <c r="C6" s="356">
        <f>SUM(C7:C10)</f>
        <v>167736000</v>
      </c>
      <c r="D6" s="356">
        <f>SUM(D7:D10)</f>
        <v>24225600</v>
      </c>
      <c r="E6" s="357">
        <f t="shared" ref="E6:E16" si="0">+(B6-C6)/C6</f>
        <v>0.14442695664615826</v>
      </c>
    </row>
    <row r="7" spans="1:5" x14ac:dyDescent="0.25">
      <c r="A7" s="82" t="s">
        <v>138</v>
      </c>
      <c r="B7" s="83">
        <f>+'PRIVADO COMPLETO'!O9</f>
        <v>67000000</v>
      </c>
      <c r="C7" s="83">
        <f>+'PRIVADO COMPLETO'!B9</f>
        <v>65300000</v>
      </c>
      <c r="D7" s="267">
        <f>+B7-C7</f>
        <v>1700000</v>
      </c>
      <c r="E7" s="268">
        <f t="shared" si="0"/>
        <v>2.6033690658499236E-2</v>
      </c>
    </row>
    <row r="8" spans="1:5" x14ac:dyDescent="0.25">
      <c r="A8" s="82" t="s">
        <v>139</v>
      </c>
      <c r="B8" s="83">
        <f>+'PRIVADO COMPLETO'!O10</f>
        <v>65500000</v>
      </c>
      <c r="C8" s="83">
        <f>+'PRIVADO COMPLETO'!B10</f>
        <v>44820000</v>
      </c>
      <c r="D8" s="267">
        <f t="shared" ref="D8:D10" si="1">+B8-C8</f>
        <v>20680000</v>
      </c>
      <c r="E8" s="268">
        <f t="shared" si="0"/>
        <v>0.46140116019634092</v>
      </c>
    </row>
    <row r="9" spans="1:5" x14ac:dyDescent="0.25">
      <c r="A9" s="82" t="s">
        <v>564</v>
      </c>
      <c r="B9" s="83">
        <f>+'PRIVADO COMPLETO'!O11</f>
        <v>0</v>
      </c>
      <c r="C9" s="83">
        <f>+'PRIVADO COMPLETO'!B11</f>
        <v>9673000</v>
      </c>
      <c r="D9" s="267">
        <f t="shared" si="1"/>
        <v>-9673000</v>
      </c>
      <c r="E9" s="268">
        <f t="shared" si="0"/>
        <v>-1</v>
      </c>
    </row>
    <row r="10" spans="1:5" x14ac:dyDescent="0.25">
      <c r="A10" s="82" t="s">
        <v>143</v>
      </c>
      <c r="B10" s="83">
        <f>+'PRIVADO COMPLETO'!O15</f>
        <v>59461600</v>
      </c>
      <c r="C10" s="83">
        <f>+'PRIVADO COMPLETO'!B15</f>
        <v>47943000</v>
      </c>
      <c r="D10" s="267">
        <f t="shared" si="1"/>
        <v>11518600</v>
      </c>
      <c r="E10" s="268">
        <f t="shared" si="0"/>
        <v>0.24025613749661057</v>
      </c>
    </row>
    <row r="11" spans="1:5" ht="9" customHeight="1" x14ac:dyDescent="0.25">
      <c r="A11" s="82"/>
      <c r="B11" s="83"/>
      <c r="C11" s="82"/>
      <c r="D11" s="82"/>
      <c r="E11" s="269"/>
    </row>
    <row r="12" spans="1:5" s="93" customFormat="1" x14ac:dyDescent="0.25">
      <c r="A12" s="355" t="s">
        <v>148</v>
      </c>
      <c r="B12" s="356">
        <f>SUM(B13:B16)</f>
        <v>224177748.19999999</v>
      </c>
      <c r="C12" s="356">
        <f t="shared" ref="C12:D12" si="2">SUM(C13:C16)</f>
        <v>214556018</v>
      </c>
      <c r="D12" s="356">
        <f t="shared" si="2"/>
        <v>9621730.1999999993</v>
      </c>
      <c r="E12" s="357">
        <f t="shared" si="0"/>
        <v>4.4844839542091001E-2</v>
      </c>
    </row>
    <row r="13" spans="1:5" x14ac:dyDescent="0.25">
      <c r="A13" s="82" t="s">
        <v>88</v>
      </c>
      <c r="B13" s="83">
        <f>+'PRIVADO COMPLETO'!O26</f>
        <v>955748.19999999984</v>
      </c>
      <c r="C13" s="83">
        <f>+'PRIVADO COMPLETO'!B26</f>
        <v>868862</v>
      </c>
      <c r="D13" s="267">
        <f t="shared" ref="D13:D16" si="3">+B13-C13</f>
        <v>86886.199999999837</v>
      </c>
      <c r="E13" s="268">
        <f t="shared" si="0"/>
        <v>9.9999999999999811E-2</v>
      </c>
    </row>
    <row r="14" spans="1:5" x14ac:dyDescent="0.25">
      <c r="A14" s="82" t="s">
        <v>7</v>
      </c>
      <c r="B14" s="83">
        <f>+'PRIVADO COMPLETO'!O29</f>
        <v>192096000</v>
      </c>
      <c r="C14" s="83">
        <f>+'PRIVADO COMPLETO'!B29</f>
        <v>189290156</v>
      </c>
      <c r="D14" s="267">
        <f t="shared" si="3"/>
        <v>2805844</v>
      </c>
      <c r="E14" s="268">
        <f t="shared" si="0"/>
        <v>1.482297896146274E-2</v>
      </c>
    </row>
    <row r="15" spans="1:5" x14ac:dyDescent="0.25">
      <c r="A15" s="82" t="s">
        <v>22</v>
      </c>
      <c r="B15" s="83">
        <f>+'PRIVADO COMPLETO'!O39</f>
        <v>26850000</v>
      </c>
      <c r="C15" s="83">
        <f>+'PRIVADO COMPLETO'!B39</f>
        <v>22070000</v>
      </c>
      <c r="D15" s="267">
        <f t="shared" si="3"/>
        <v>4780000</v>
      </c>
      <c r="E15" s="268">
        <f t="shared" si="0"/>
        <v>0.21658359764386045</v>
      </c>
    </row>
    <row r="16" spans="1:5" x14ac:dyDescent="0.25">
      <c r="A16" s="82" t="s">
        <v>290</v>
      </c>
      <c r="B16" s="83">
        <f>+'PRIVADO COMPLETO'!O44</f>
        <v>4276000</v>
      </c>
      <c r="C16" s="83">
        <f>+'PRIVADO COMPLETO'!B44</f>
        <v>2327000</v>
      </c>
      <c r="D16" s="267">
        <f t="shared" si="3"/>
        <v>1949000</v>
      </c>
      <c r="E16" s="268">
        <f t="shared" si="0"/>
        <v>0.83755908895573705</v>
      </c>
    </row>
    <row r="17" spans="1:5" x14ac:dyDescent="0.25">
      <c r="E17" s="94"/>
    </row>
    <row r="18" spans="1:5" ht="25" x14ac:dyDescent="0.25">
      <c r="B18" s="358" t="s">
        <v>830</v>
      </c>
      <c r="C18" s="358" t="s">
        <v>831</v>
      </c>
      <c r="D18" s="358" t="s">
        <v>260</v>
      </c>
      <c r="E18" s="358" t="s">
        <v>308</v>
      </c>
    </row>
    <row r="19" spans="1:5" s="93" customFormat="1" x14ac:dyDescent="0.25">
      <c r="A19" s="351" t="s">
        <v>112</v>
      </c>
      <c r="B19" s="352">
        <f>+B20+B34</f>
        <v>400939409.48199999</v>
      </c>
      <c r="C19" s="352">
        <f t="shared" ref="C19:D19" si="4">+C20+C34</f>
        <v>346872988</v>
      </c>
      <c r="D19" s="352">
        <f t="shared" si="4"/>
        <v>54066421.482000001</v>
      </c>
      <c r="E19" s="353">
        <f t="shared" ref="E19:E35" si="5">+(B19-C19)/C19</f>
        <v>0.15586806512013554</v>
      </c>
    </row>
    <row r="20" spans="1:5" s="93" customFormat="1" x14ac:dyDescent="0.25">
      <c r="A20" s="355" t="s">
        <v>113</v>
      </c>
      <c r="B20" s="356">
        <f>SUM(B21:B32)</f>
        <v>370622409.48199999</v>
      </c>
      <c r="C20" s="356">
        <f t="shared" ref="C20:D20" si="6">SUM(C21:C32)</f>
        <v>337337988</v>
      </c>
      <c r="D20" s="356">
        <f t="shared" si="6"/>
        <v>33284421.482000001</v>
      </c>
      <c r="E20" s="357">
        <f t="shared" si="5"/>
        <v>9.8667872181653002E-2</v>
      </c>
    </row>
    <row r="21" spans="1:5" x14ac:dyDescent="0.25">
      <c r="A21" s="82" t="s">
        <v>126</v>
      </c>
      <c r="B21" s="83">
        <f>+'PRIVADO COMPLETO'!O54</f>
        <v>90865000</v>
      </c>
      <c r="C21" s="83">
        <f>+'PRIVADO COMPLETO'!B54</f>
        <v>86597500</v>
      </c>
      <c r="D21" s="267">
        <f t="shared" ref="D21:D32" si="7">+B21-C21</f>
        <v>4267500</v>
      </c>
      <c r="E21" s="268">
        <f t="shared" si="5"/>
        <v>4.9279713617598662E-2</v>
      </c>
    </row>
    <row r="22" spans="1:5" x14ac:dyDescent="0.25">
      <c r="A22" s="82" t="s">
        <v>1</v>
      </c>
      <c r="B22" s="83">
        <f>+'PRIVADO COMPLETO'!O75</f>
        <v>32435000</v>
      </c>
      <c r="C22" s="83">
        <f>+'PRIVADO COMPLETO'!B75</f>
        <v>25812403</v>
      </c>
      <c r="D22" s="267">
        <f t="shared" si="7"/>
        <v>6622597</v>
      </c>
      <c r="E22" s="268">
        <f t="shared" si="5"/>
        <v>0.25656646535388433</v>
      </c>
    </row>
    <row r="23" spans="1:5" x14ac:dyDescent="0.25">
      <c r="A23" s="82" t="s">
        <v>5</v>
      </c>
      <c r="B23" s="83">
        <f>+'PRIVADO COMPLETO'!O80</f>
        <v>2704016</v>
      </c>
      <c r="C23" s="83">
        <f>+'PRIVADO COMPLETO'!B80</f>
        <v>2565827</v>
      </c>
      <c r="D23" s="267">
        <f t="shared" si="7"/>
        <v>138189</v>
      </c>
      <c r="E23" s="268">
        <f t="shared" si="5"/>
        <v>5.385748922277301E-2</v>
      </c>
    </row>
    <row r="24" spans="1:5" x14ac:dyDescent="0.25">
      <c r="A24" s="82" t="s">
        <v>7</v>
      </c>
      <c r="B24" s="83">
        <f>+'PRIVADO COMPLETO'!O84</f>
        <v>2948000</v>
      </c>
      <c r="C24" s="83">
        <f>+'PRIVADO COMPLETO'!B84</f>
        <v>2837000</v>
      </c>
      <c r="D24" s="267">
        <f t="shared" si="7"/>
        <v>111000</v>
      </c>
      <c r="E24" s="268">
        <f t="shared" si="5"/>
        <v>3.9125837151921042E-2</v>
      </c>
    </row>
    <row r="25" spans="1:5" x14ac:dyDescent="0.25">
      <c r="A25" s="82" t="s">
        <v>114</v>
      </c>
      <c r="B25" s="83">
        <f>+'PRIVADO COMPLETO'!O88</f>
        <v>13425393.482000001</v>
      </c>
      <c r="C25" s="83">
        <f>+'PRIVADO COMPLETO'!B88</f>
        <v>16337180</v>
      </c>
      <c r="D25" s="267">
        <f t="shared" si="7"/>
        <v>-2911786.5179999992</v>
      </c>
      <c r="E25" s="268">
        <f t="shared" si="5"/>
        <v>-0.17823066881799671</v>
      </c>
    </row>
    <row r="26" spans="1:5" x14ac:dyDescent="0.25">
      <c r="A26" s="82" t="s">
        <v>13</v>
      </c>
      <c r="B26" s="83">
        <f>+'PRIVADO COMPLETO'!O96</f>
        <v>3938000</v>
      </c>
      <c r="C26" s="83">
        <f>+'PRIVADO COMPLETO'!B96</f>
        <v>3780700</v>
      </c>
      <c r="D26" s="267">
        <f t="shared" si="7"/>
        <v>157300</v>
      </c>
      <c r="E26" s="268">
        <f t="shared" si="5"/>
        <v>4.160605178935118E-2</v>
      </c>
    </row>
    <row r="27" spans="1:5" x14ac:dyDescent="0.25">
      <c r="A27" s="82" t="s">
        <v>22</v>
      </c>
      <c r="B27" s="83">
        <f>+'PRIVADO COMPLETO'!O105</f>
        <v>54993000</v>
      </c>
      <c r="C27" s="83">
        <f>+'PRIVADO COMPLETO'!B105</f>
        <v>48347000</v>
      </c>
      <c r="D27" s="267">
        <f t="shared" si="7"/>
        <v>6646000</v>
      </c>
      <c r="E27" s="268">
        <f t="shared" si="5"/>
        <v>0.13746457898111569</v>
      </c>
    </row>
    <row r="28" spans="1:5" x14ac:dyDescent="0.25">
      <c r="A28" s="82" t="s">
        <v>50</v>
      </c>
      <c r="B28" s="83">
        <f>+'PRIVADO COMPLETO'!O155</f>
        <v>8319000</v>
      </c>
      <c r="C28" s="83">
        <f>+'PRIVADO COMPLETO'!B155</f>
        <v>7997000</v>
      </c>
      <c r="D28" s="267">
        <f t="shared" si="7"/>
        <v>322000</v>
      </c>
      <c r="E28" s="268">
        <f t="shared" si="5"/>
        <v>4.0265099412279605E-2</v>
      </c>
    </row>
    <row r="29" spans="1:5" x14ac:dyDescent="0.25">
      <c r="A29" s="82" t="s">
        <v>57</v>
      </c>
      <c r="B29" s="83">
        <f>+'PRIVADO COMPLETO'!O169</f>
        <v>11605000</v>
      </c>
      <c r="C29" s="83">
        <f>+'PRIVADO COMPLETO'!B169</f>
        <v>12102000</v>
      </c>
      <c r="D29" s="267">
        <f t="shared" si="7"/>
        <v>-497000</v>
      </c>
      <c r="E29" s="268">
        <f t="shared" si="5"/>
        <v>-4.1067592133531651E-2</v>
      </c>
    </row>
    <row r="30" spans="1:5" x14ac:dyDescent="0.25">
      <c r="A30" s="82" t="s">
        <v>58</v>
      </c>
      <c r="B30" s="83">
        <f>+'PRIVADO COMPLETO'!O183</f>
        <v>88800000</v>
      </c>
      <c r="C30" s="83">
        <f>+'PRIVADO COMPLETO'!B183</f>
        <v>79867000</v>
      </c>
      <c r="D30" s="267">
        <f t="shared" si="7"/>
        <v>8933000</v>
      </c>
      <c r="E30" s="268">
        <f t="shared" si="5"/>
        <v>0.11184844804487461</v>
      </c>
    </row>
    <row r="31" spans="1:5" x14ac:dyDescent="0.25">
      <c r="A31" s="82" t="s">
        <v>67</v>
      </c>
      <c r="B31" s="83">
        <f>+'PRIVADO COMPLETO'!O187</f>
        <v>0</v>
      </c>
      <c r="C31" s="83">
        <f>+'PRIVADO COMPLETO'!B187</f>
        <v>0</v>
      </c>
      <c r="D31" s="267">
        <f t="shared" si="7"/>
        <v>0</v>
      </c>
      <c r="E31" s="268">
        <v>0</v>
      </c>
    </row>
    <row r="32" spans="1:5" x14ac:dyDescent="0.25">
      <c r="A32" s="82" t="s">
        <v>71</v>
      </c>
      <c r="B32" s="83">
        <f>+'PRIVADO COMPLETO'!O190</f>
        <v>60590000</v>
      </c>
      <c r="C32" s="83">
        <f>+'PRIVADO COMPLETO'!B190</f>
        <v>51094378</v>
      </c>
      <c r="D32" s="267">
        <f t="shared" si="7"/>
        <v>9495622</v>
      </c>
      <c r="E32" s="268">
        <f t="shared" si="5"/>
        <v>0.1858447518433437</v>
      </c>
    </row>
    <row r="33" spans="1:5" ht="10.5" customHeight="1" x14ac:dyDescent="0.25">
      <c r="A33" s="105"/>
      <c r="B33" s="106"/>
      <c r="E33" s="94"/>
    </row>
    <row r="34" spans="1:5" s="93" customFormat="1" x14ac:dyDescent="0.25">
      <c r="A34" s="355" t="s">
        <v>87</v>
      </c>
      <c r="B34" s="356">
        <f>+B35</f>
        <v>30317000</v>
      </c>
      <c r="C34" s="356">
        <f t="shared" ref="C34:D34" si="8">+C35</f>
        <v>9535000</v>
      </c>
      <c r="D34" s="356">
        <f t="shared" si="8"/>
        <v>20782000</v>
      </c>
      <c r="E34" s="357">
        <f t="shared" si="5"/>
        <v>2.1795490298898792</v>
      </c>
    </row>
    <row r="35" spans="1:5" x14ac:dyDescent="0.25">
      <c r="A35" s="82" t="s">
        <v>88</v>
      </c>
      <c r="B35" s="83">
        <f>+'PRIVADO COMPLETO'!O229</f>
        <v>30317000</v>
      </c>
      <c r="C35" s="83">
        <f>+'PRIVADO COMPLETO'!B229</f>
        <v>9535000</v>
      </c>
      <c r="D35" s="267">
        <f t="shared" ref="D35" si="9">+B35-C35</f>
        <v>20782000</v>
      </c>
      <c r="E35" s="268">
        <f t="shared" si="5"/>
        <v>2.1795490298898792</v>
      </c>
    </row>
    <row r="36" spans="1:5" s="107" customFormat="1" ht="10.5" customHeight="1" x14ac:dyDescent="0.25">
      <c r="A36" s="107" t="s">
        <v>92</v>
      </c>
      <c r="B36" s="108"/>
      <c r="E36" s="94"/>
    </row>
    <row r="37" spans="1:5" s="93" customFormat="1" x14ac:dyDescent="0.25">
      <c r="A37" s="351" t="s">
        <v>158</v>
      </c>
      <c r="B37" s="352">
        <f>+B5-B19</f>
        <v>15199938.717999995</v>
      </c>
      <c r="C37" s="352">
        <f>+C5-C19</f>
        <v>35419030</v>
      </c>
      <c r="D37" s="352">
        <f>+D5-D19</f>
        <v>-20219091.281999998</v>
      </c>
      <c r="E37" s="353">
        <f>+(B37-C37)/C37</f>
        <v>-0.57085389639411366</v>
      </c>
    </row>
    <row r="38" spans="1:5" x14ac:dyDescent="0.25">
      <c r="E38" s="94"/>
    </row>
    <row r="39" spans="1:5" x14ac:dyDescent="0.25">
      <c r="A39" s="373" t="s">
        <v>884</v>
      </c>
      <c r="B39" s="371">
        <f>+B37+11000000+26000000</f>
        <v>52199938.717999995</v>
      </c>
      <c r="C39" s="371">
        <f>+C37</f>
        <v>35419030</v>
      </c>
      <c r="D39" s="371">
        <f>+B39-C39</f>
        <v>16780908.717999995</v>
      </c>
      <c r="E39" s="372">
        <f>+(B39-C39)/C39</f>
        <v>0.47378227800140194</v>
      </c>
    </row>
  </sheetData>
  <pageMargins left="0.7" right="0.7" top="0.75" bottom="0.75" header="0.3" footer="0.3"/>
  <pageSetup orientation="portrait" r:id="rId1"/>
  <ignoredErrors>
    <ignoredError sqref="B37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2:J28"/>
  <sheetViews>
    <sheetView showGridLines="0" workbookViewId="0">
      <selection activeCell="C10" activeCellId="1" sqref="C6 C10"/>
    </sheetView>
  </sheetViews>
  <sheetFormatPr baseColWidth="10" defaultColWidth="11.453125" defaultRowHeight="12.5" x14ac:dyDescent="0.25"/>
  <cols>
    <col min="1" max="1" width="5.453125" style="81" customWidth="1"/>
    <col min="2" max="2" width="23.26953125" style="81" customWidth="1"/>
    <col min="3" max="3" width="16.54296875" style="81" customWidth="1"/>
    <col min="4" max="4" width="16.26953125" style="81" customWidth="1"/>
    <col min="5" max="5" width="15.26953125" style="81" customWidth="1"/>
    <col min="6" max="6" width="8.54296875" style="81" customWidth="1"/>
    <col min="7" max="7" width="11.453125" style="81"/>
    <col min="8" max="8" width="20.453125" style="81" customWidth="1"/>
    <col min="9" max="9" width="15.453125" style="81" bestFit="1" customWidth="1"/>
    <col min="10" max="10" width="15.453125" style="81" customWidth="1"/>
    <col min="11" max="16384" width="11.453125" style="81"/>
  </cols>
  <sheetData>
    <row r="2" spans="2:10" x14ac:dyDescent="0.25">
      <c r="B2" s="93" t="s">
        <v>832</v>
      </c>
      <c r="G2" s="271">
        <v>7.0000000000000007E-2</v>
      </c>
    </row>
    <row r="3" spans="2:10" x14ac:dyDescent="0.25">
      <c r="H3" s="131"/>
    </row>
    <row r="4" spans="2:10" x14ac:dyDescent="0.25">
      <c r="B4" s="107"/>
      <c r="C4" s="123" t="s">
        <v>830</v>
      </c>
      <c r="D4" s="123" t="s">
        <v>551</v>
      </c>
      <c r="E4" s="123" t="s">
        <v>297</v>
      </c>
      <c r="F4" s="123" t="s">
        <v>298</v>
      </c>
    </row>
    <row r="5" spans="2:10" x14ac:dyDescent="0.25">
      <c r="B5" s="107" t="s">
        <v>292</v>
      </c>
      <c r="C5" s="108">
        <f>+'RESUMIDO PUBLICO COMPARADO'!B5</f>
        <v>2760882343.5690656</v>
      </c>
      <c r="D5" s="108">
        <f>+'RESUMIDO PUBLICO COMPARADO'!C5</f>
        <v>2468272504.2862959</v>
      </c>
      <c r="E5" s="124">
        <f>+C5-D5</f>
        <v>292609839.28276968</v>
      </c>
      <c r="F5" s="125">
        <f>+(C5-D5)/D5</f>
        <v>0.11854843368170898</v>
      </c>
      <c r="H5" s="81" t="s">
        <v>318</v>
      </c>
      <c r="I5" s="131">
        <f>+C5</f>
        <v>2760882343.5690656</v>
      </c>
      <c r="J5" s="163">
        <f>+I5/I7</f>
        <v>0.86901589331979656</v>
      </c>
    </row>
    <row r="6" spans="2:10" x14ac:dyDescent="0.25">
      <c r="B6" s="107" t="s">
        <v>293</v>
      </c>
      <c r="C6" s="108">
        <f>+'RESUMIDO PUBLICO COMPARADO'!B24</f>
        <v>2638671560.4356909</v>
      </c>
      <c r="D6" s="108">
        <f>+'RESUMIDO PUBLICO COMPARADO'!C24</f>
        <v>2368434238</v>
      </c>
      <c r="E6" s="124">
        <f>+C6-D6</f>
        <v>270237322.43569088</v>
      </c>
      <c r="F6" s="125">
        <f t="shared" ref="F6:F13" si="0">+(C6-D6)/D6</f>
        <v>0.11409956759613897</v>
      </c>
      <c r="H6" s="81" t="s">
        <v>319</v>
      </c>
      <c r="I6" s="131">
        <f>+C9</f>
        <v>416139348.19999999</v>
      </c>
      <c r="J6" s="163">
        <f>+I6/I7</f>
        <v>0.13098410668020355</v>
      </c>
    </row>
    <row r="7" spans="2:10" x14ac:dyDescent="0.25">
      <c r="B7" s="126" t="s">
        <v>294</v>
      </c>
      <c r="C7" s="127">
        <f>+C5-C6</f>
        <v>122210783.13337469</v>
      </c>
      <c r="D7" s="127">
        <f t="shared" ref="D7:E7" si="1">+D5-D6</f>
        <v>99838266.286295891</v>
      </c>
      <c r="E7" s="127">
        <f t="shared" si="1"/>
        <v>22372516.8470788</v>
      </c>
      <c r="F7" s="128">
        <f t="shared" si="0"/>
        <v>0.22408759365796119</v>
      </c>
      <c r="I7" s="131">
        <f>SUM(I5:I6)</f>
        <v>3177021691.7690654</v>
      </c>
    </row>
    <row r="8" spans="2:10" ht="8.25" customHeight="1" x14ac:dyDescent="0.25">
      <c r="B8" s="107"/>
      <c r="C8" s="108"/>
      <c r="D8" s="107"/>
      <c r="E8" s="107"/>
      <c r="F8" s="125"/>
    </row>
    <row r="9" spans="2:10" x14ac:dyDescent="0.25">
      <c r="B9" s="107" t="s">
        <v>295</v>
      </c>
      <c r="C9" s="108">
        <f>+'RESUMIDO PRIVADO COMPARADO'!B5</f>
        <v>416139348.19999999</v>
      </c>
      <c r="D9" s="108">
        <f>+'RESUMIDO PRIVADO COMPARADO'!C5</f>
        <v>382292018</v>
      </c>
      <c r="E9" s="124">
        <f>+C9-D9</f>
        <v>33847330.199999988</v>
      </c>
      <c r="F9" s="125">
        <f t="shared" si="0"/>
        <v>8.8537894087027447E-2</v>
      </c>
    </row>
    <row r="10" spans="2:10" x14ac:dyDescent="0.25">
      <c r="B10" s="107" t="s">
        <v>416</v>
      </c>
      <c r="C10" s="108">
        <f>+'RESUMIDO PRIVADO COMPARADO'!B19</f>
        <v>400939409.48199999</v>
      </c>
      <c r="D10" s="108">
        <f>+'RESUMIDO PRIVADO COMPARADO'!C19</f>
        <v>346872988</v>
      </c>
      <c r="E10" s="124">
        <f>+C10-D10</f>
        <v>54066421.481999993</v>
      </c>
      <c r="F10" s="125">
        <f t="shared" si="0"/>
        <v>0.15586806512013554</v>
      </c>
    </row>
    <row r="11" spans="2:10" x14ac:dyDescent="0.25">
      <c r="B11" s="126" t="s">
        <v>296</v>
      </c>
      <c r="C11" s="127">
        <f>+C9-C10</f>
        <v>15199938.717999995</v>
      </c>
      <c r="D11" s="127">
        <f t="shared" ref="D11:E11" si="2">+D9-D10</f>
        <v>35419030</v>
      </c>
      <c r="E11" s="127">
        <f t="shared" si="2"/>
        <v>-20219091.282000005</v>
      </c>
      <c r="F11" s="128">
        <f t="shared" si="0"/>
        <v>-0.57085389639411366</v>
      </c>
    </row>
    <row r="12" spans="2:10" ht="8.25" customHeight="1" x14ac:dyDescent="0.25">
      <c r="B12" s="107"/>
      <c r="C12" s="108"/>
      <c r="D12" s="107"/>
      <c r="E12" s="107"/>
      <c r="F12" s="125"/>
    </row>
    <row r="13" spans="2:10" x14ac:dyDescent="0.25">
      <c r="B13" s="126" t="s">
        <v>299</v>
      </c>
      <c r="C13" s="127">
        <f>+C7+C11</f>
        <v>137410721.85137469</v>
      </c>
      <c r="D13" s="127">
        <f t="shared" ref="D13:E13" si="3">+D7+D11</f>
        <v>135257296.28629589</v>
      </c>
      <c r="E13" s="127">
        <f t="shared" si="3"/>
        <v>2153425.565078795</v>
      </c>
      <c r="F13" s="128">
        <f t="shared" si="0"/>
        <v>1.5920956755787061E-2</v>
      </c>
      <c r="H13" s="81" t="s">
        <v>412</v>
      </c>
      <c r="I13" s="131">
        <f>+C6</f>
        <v>2638671560.4356909</v>
      </c>
      <c r="J13" s="163">
        <f>+I13/I15</f>
        <v>0.86809515643613533</v>
      </c>
    </row>
    <row r="14" spans="2:10" x14ac:dyDescent="0.25">
      <c r="B14" s="107"/>
      <c r="C14" s="107"/>
      <c r="D14" s="107"/>
      <c r="E14" s="107"/>
      <c r="F14" s="107"/>
      <c r="H14" s="81" t="s">
        <v>413</v>
      </c>
      <c r="I14" s="131">
        <f>+C10</f>
        <v>400939409.48199999</v>
      </c>
      <c r="J14" s="163">
        <f>+I14/I15</f>
        <v>0.13190484356386467</v>
      </c>
    </row>
    <row r="15" spans="2:10" x14ac:dyDescent="0.25">
      <c r="B15" s="107"/>
      <c r="C15" s="107"/>
      <c r="D15" s="107"/>
      <c r="E15" s="107"/>
      <c r="F15" s="107"/>
      <c r="I15" s="131">
        <f>SUM(I13:I14)</f>
        <v>3039610969.9176908</v>
      </c>
    </row>
    <row r="16" spans="2:10" x14ac:dyDescent="0.25">
      <c r="B16" s="81" t="s">
        <v>317</v>
      </c>
      <c r="C16" s="129">
        <v>2018</v>
      </c>
      <c r="D16" s="129">
        <v>2017</v>
      </c>
    </row>
    <row r="17" spans="2:6" x14ac:dyDescent="0.25">
      <c r="C17" s="130">
        <f>+C5+C9</f>
        <v>3177021691.7690654</v>
      </c>
      <c r="D17" s="130">
        <f>+D5+D9</f>
        <v>2850564522.2862959</v>
      </c>
    </row>
    <row r="18" spans="2:6" x14ac:dyDescent="0.25">
      <c r="B18" s="81" t="s">
        <v>315</v>
      </c>
      <c r="C18" s="164">
        <f>+C5/C17</f>
        <v>0.86901589331979656</v>
      </c>
      <c r="D18" s="164">
        <f>+D5/D17</f>
        <v>0.86588901425974996</v>
      </c>
    </row>
    <row r="19" spans="2:6" x14ac:dyDescent="0.25">
      <c r="B19" s="81" t="s">
        <v>316</v>
      </c>
      <c r="C19" s="164">
        <f>+C9/C17</f>
        <v>0.13098410668020355</v>
      </c>
      <c r="D19" s="164">
        <f>+D9/D17</f>
        <v>0.13411098574025002</v>
      </c>
    </row>
    <row r="22" spans="2:6" x14ac:dyDescent="0.25">
      <c r="B22" s="93" t="s">
        <v>832</v>
      </c>
    </row>
    <row r="24" spans="2:6" x14ac:dyDescent="0.25">
      <c r="B24" s="107"/>
      <c r="C24" s="123" t="s">
        <v>830</v>
      </c>
      <c r="D24" s="123" t="s">
        <v>551</v>
      </c>
      <c r="E24" s="123" t="s">
        <v>297</v>
      </c>
      <c r="F24" s="123" t="s">
        <v>298</v>
      </c>
    </row>
    <row r="25" spans="2:6" x14ac:dyDescent="0.25">
      <c r="B25" s="107" t="s">
        <v>568</v>
      </c>
      <c r="C25" s="108">
        <f>+C5+C9</f>
        <v>3177021691.7690654</v>
      </c>
      <c r="D25" s="108">
        <f>+D5+D9</f>
        <v>2850564522.2862959</v>
      </c>
      <c r="E25" s="124">
        <f>+C25-D25</f>
        <v>326457169.48276949</v>
      </c>
      <c r="F25" s="125">
        <f>+(C25-D25)/D25</f>
        <v>0.11452369063406936</v>
      </c>
    </row>
    <row r="26" spans="2:6" x14ac:dyDescent="0.25">
      <c r="B26" s="107" t="s">
        <v>569</v>
      </c>
      <c r="C26" s="108">
        <f>+C6+C10</f>
        <v>3039610969.9176908</v>
      </c>
      <c r="D26" s="108">
        <f>+D6+D10</f>
        <v>2715307226</v>
      </c>
      <c r="E26" s="124">
        <f>+C26-D26</f>
        <v>324303743.91769075</v>
      </c>
      <c r="F26" s="125">
        <f t="shared" ref="F26:F27" si="4">+(C26-D26)/D26</f>
        <v>0.11943537762959967</v>
      </c>
    </row>
    <row r="27" spans="2:6" x14ac:dyDescent="0.25">
      <c r="B27" s="126" t="s">
        <v>570</v>
      </c>
      <c r="C27" s="127">
        <f>+C25-C26</f>
        <v>137410721.85137463</v>
      </c>
      <c r="D27" s="127">
        <f t="shared" ref="D27:E27" si="5">+D25-D26</f>
        <v>135257296.28629589</v>
      </c>
      <c r="E27" s="127">
        <f t="shared" si="5"/>
        <v>2153425.5650787354</v>
      </c>
      <c r="F27" s="128">
        <f t="shared" si="4"/>
        <v>1.5920956755786621E-2</v>
      </c>
    </row>
    <row r="28" spans="2:6" x14ac:dyDescent="0.25">
      <c r="B28" s="107"/>
      <c r="C28" s="108"/>
      <c r="D28" s="107"/>
      <c r="E28" s="107"/>
      <c r="F28" s="12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3:F27"/>
  <sheetViews>
    <sheetView showGridLines="0" workbookViewId="0">
      <selection activeCell="B4" sqref="B4"/>
    </sheetView>
  </sheetViews>
  <sheetFormatPr baseColWidth="10" defaultRowHeight="14.5" x14ac:dyDescent="0.35"/>
  <cols>
    <col min="2" max="2" width="32.54296875" customWidth="1"/>
    <col min="3" max="4" width="15.7265625" bestFit="1" customWidth="1"/>
    <col min="5" max="5" width="14.1796875" bestFit="1" customWidth="1"/>
  </cols>
  <sheetData>
    <row r="3" spans="2:6" x14ac:dyDescent="0.35">
      <c r="B3" s="420" t="s">
        <v>917</v>
      </c>
      <c r="C3" s="420"/>
      <c r="D3" s="420"/>
      <c r="E3" s="420"/>
      <c r="F3" s="420"/>
    </row>
    <row r="4" spans="2:6" ht="6" customHeight="1" x14ac:dyDescent="0.35">
      <c r="B4" s="81"/>
      <c r="C4" s="81"/>
      <c r="D4" s="81"/>
      <c r="E4" s="81"/>
      <c r="F4" s="81"/>
    </row>
    <row r="5" spans="2:6" x14ac:dyDescent="0.35">
      <c r="B5" s="107"/>
      <c r="C5" s="123" t="s">
        <v>830</v>
      </c>
      <c r="D5" s="123" t="s">
        <v>551</v>
      </c>
      <c r="E5" s="123" t="s">
        <v>297</v>
      </c>
      <c r="F5" s="123" t="s">
        <v>298</v>
      </c>
    </row>
    <row r="6" spans="2:6" x14ac:dyDescent="0.35">
      <c r="B6" s="107" t="s">
        <v>292</v>
      </c>
      <c r="C6" s="108">
        <v>2748342343</v>
      </c>
      <c r="D6" s="108">
        <f>+'RESUMEN GENERAL'!D5</f>
        <v>2468272504.2862959</v>
      </c>
      <c r="E6" s="124">
        <f>+C6-D6</f>
        <v>280069838.71370411</v>
      </c>
      <c r="F6" s="125">
        <f>+(C6-D6)/D6</f>
        <v>0.11346795713493825</v>
      </c>
    </row>
    <row r="7" spans="2:6" x14ac:dyDescent="0.35">
      <c r="B7" s="107" t="s">
        <v>293</v>
      </c>
      <c r="C7" s="108">
        <v>2627682160</v>
      </c>
      <c r="D7" s="108">
        <f>+'RESUMEN GENERAL'!D6</f>
        <v>2368434238</v>
      </c>
      <c r="E7" s="124">
        <f>+C7-D7</f>
        <v>259247922</v>
      </c>
      <c r="F7" s="125">
        <f t="shared" ref="F7:F14" si="0">+(C7-D7)/D7</f>
        <v>0.1094596243545775</v>
      </c>
    </row>
    <row r="8" spans="2:6" x14ac:dyDescent="0.35">
      <c r="B8" s="126" t="s">
        <v>294</v>
      </c>
      <c r="C8" s="127">
        <f>+C6-C7</f>
        <v>120660183</v>
      </c>
      <c r="D8" s="127">
        <f t="shared" ref="D8:E8" si="1">+D6-D7</f>
        <v>99838266.286295891</v>
      </c>
      <c r="E8" s="127">
        <f t="shared" si="1"/>
        <v>20821916.713704109</v>
      </c>
      <c r="F8" s="128">
        <f t="shared" si="0"/>
        <v>0.20855647326642521</v>
      </c>
    </row>
    <row r="9" spans="2:6" ht="8.25" customHeight="1" x14ac:dyDescent="0.35">
      <c r="B9" s="107"/>
      <c r="C9" s="108"/>
      <c r="D9" s="107"/>
      <c r="E9" s="107"/>
      <c r="F9" s="125"/>
    </row>
    <row r="10" spans="2:6" x14ac:dyDescent="0.35">
      <c r="B10" s="107" t="s">
        <v>295</v>
      </c>
      <c r="C10" s="108">
        <v>428679348</v>
      </c>
      <c r="D10" s="108">
        <f>+'RESUMEN GENERAL'!D9</f>
        <v>382292018</v>
      </c>
      <c r="E10" s="124">
        <f>+C10-D10</f>
        <v>46387330</v>
      </c>
      <c r="F10" s="125">
        <f t="shared" si="0"/>
        <v>0.12134004325457823</v>
      </c>
    </row>
    <row r="11" spans="2:6" x14ac:dyDescent="0.35">
      <c r="B11" s="107" t="s">
        <v>416</v>
      </c>
      <c r="C11" s="108">
        <v>411928809</v>
      </c>
      <c r="D11" s="108">
        <f>+'RESUMEN GENERAL'!D10</f>
        <v>346872988</v>
      </c>
      <c r="E11" s="124">
        <f>+C11-D11</f>
        <v>65055821</v>
      </c>
      <c r="F11" s="125">
        <f t="shared" si="0"/>
        <v>0.18754940064690193</v>
      </c>
    </row>
    <row r="12" spans="2:6" x14ac:dyDescent="0.35">
      <c r="B12" s="126" t="s">
        <v>296</v>
      </c>
      <c r="C12" s="127">
        <f>+C10-C11</f>
        <v>16750539</v>
      </c>
      <c r="D12" s="127">
        <f t="shared" ref="D12:E12" si="2">+D10-D11</f>
        <v>35419030</v>
      </c>
      <c r="E12" s="127">
        <f t="shared" si="2"/>
        <v>-18668491</v>
      </c>
      <c r="F12" s="128">
        <f t="shared" si="0"/>
        <v>-0.52707516270208421</v>
      </c>
    </row>
    <row r="13" spans="2:6" ht="9.75" customHeight="1" x14ac:dyDescent="0.35">
      <c r="B13" s="107"/>
      <c r="C13" s="108"/>
      <c r="D13" s="107"/>
      <c r="E13" s="107"/>
      <c r="F13" s="125"/>
    </row>
    <row r="14" spans="2:6" x14ac:dyDescent="0.35">
      <c r="B14" s="126" t="s">
        <v>299</v>
      </c>
      <c r="C14" s="127">
        <f>+C8+C12</f>
        <v>137410722</v>
      </c>
      <c r="D14" s="127">
        <f t="shared" ref="D14:E14" si="3">+D8+D12</f>
        <v>135257296.28629589</v>
      </c>
      <c r="E14" s="127">
        <f t="shared" si="3"/>
        <v>2153425.7137041092</v>
      </c>
      <c r="F14" s="128">
        <f t="shared" si="0"/>
        <v>1.592095785462105E-2</v>
      </c>
    </row>
    <row r="15" spans="2:6" ht="12.75" customHeight="1" x14ac:dyDescent="0.35"/>
    <row r="16" spans="2:6" x14ac:dyDescent="0.35">
      <c r="B16" s="420" t="s">
        <v>918</v>
      </c>
      <c r="C16" s="420"/>
      <c r="D16" s="420"/>
      <c r="E16" s="420"/>
      <c r="F16" s="420"/>
    </row>
    <row r="17" spans="2:6" ht="4.5" customHeight="1" x14ac:dyDescent="0.35"/>
    <row r="18" spans="2:6" x14ac:dyDescent="0.35">
      <c r="B18" s="107"/>
      <c r="C18" s="123" t="s">
        <v>830</v>
      </c>
      <c r="D18" s="123" t="s">
        <v>551</v>
      </c>
      <c r="E18" s="123" t="s">
        <v>297</v>
      </c>
      <c r="F18" s="123" t="s">
        <v>298</v>
      </c>
    </row>
    <row r="19" spans="2:6" x14ac:dyDescent="0.35">
      <c r="B19" s="107" t="s">
        <v>292</v>
      </c>
      <c r="C19" s="108">
        <f>+'RESUMIDO PUBLICO COMPARADO'!B5</f>
        <v>2760882343.5690656</v>
      </c>
      <c r="D19" s="108">
        <f>+'RESUMIDO PUBLICO COMPARADO'!C5</f>
        <v>2468272504.2862959</v>
      </c>
      <c r="E19" s="124">
        <f>+C19-D19</f>
        <v>292609839.28276968</v>
      </c>
      <c r="F19" s="125">
        <f>+(C19-D19)/D19</f>
        <v>0.11854843368170898</v>
      </c>
    </row>
    <row r="20" spans="2:6" x14ac:dyDescent="0.35">
      <c r="B20" s="107" t="s">
        <v>293</v>
      </c>
      <c r="C20" s="108">
        <f>+'RESUMIDO PUBLICO COMPARADO'!B24</f>
        <v>2638671560.4356909</v>
      </c>
      <c r="D20" s="108">
        <f>+'RESUMIDO PUBLICO COMPARADO'!C24</f>
        <v>2368434238</v>
      </c>
      <c r="E20" s="124">
        <f>+C20-D20</f>
        <v>270237322.43569088</v>
      </c>
      <c r="F20" s="125">
        <f t="shared" ref="F20:F27" si="4">+(C20-D20)/D20</f>
        <v>0.11409956759613897</v>
      </c>
    </row>
    <row r="21" spans="2:6" x14ac:dyDescent="0.35">
      <c r="B21" s="126" t="s">
        <v>294</v>
      </c>
      <c r="C21" s="127">
        <f>+C19-C20</f>
        <v>122210783.13337469</v>
      </c>
      <c r="D21" s="127">
        <f t="shared" ref="D21:E21" si="5">+D19-D20</f>
        <v>99838266.286295891</v>
      </c>
      <c r="E21" s="127">
        <f t="shared" si="5"/>
        <v>22372516.8470788</v>
      </c>
      <c r="F21" s="128">
        <f t="shared" si="4"/>
        <v>0.22408759365796119</v>
      </c>
    </row>
    <row r="22" spans="2:6" ht="10.5" customHeight="1" x14ac:dyDescent="0.35">
      <c r="B22" s="107"/>
      <c r="C22" s="108"/>
      <c r="D22" s="107"/>
      <c r="E22" s="107"/>
      <c r="F22" s="125"/>
    </row>
    <row r="23" spans="2:6" ht="11.25" customHeight="1" x14ac:dyDescent="0.35">
      <c r="B23" s="107" t="s">
        <v>295</v>
      </c>
      <c r="C23" s="108">
        <f>+'RESUMIDO PRIVADO COMPARADO'!B5</f>
        <v>416139348.19999999</v>
      </c>
      <c r="D23" s="108">
        <f>+'RESUMIDO PRIVADO COMPARADO'!C5</f>
        <v>382292018</v>
      </c>
      <c r="E23" s="124">
        <f>+C23-D23</f>
        <v>33847330.199999988</v>
      </c>
      <c r="F23" s="125">
        <f t="shared" si="4"/>
        <v>8.8537894087027447E-2</v>
      </c>
    </row>
    <row r="24" spans="2:6" x14ac:dyDescent="0.35">
      <c r="B24" s="107" t="s">
        <v>416</v>
      </c>
      <c r="C24" s="108">
        <f>+'RESUMIDO PRIVADO COMPARADO'!B19</f>
        <v>400939409.48199999</v>
      </c>
      <c r="D24" s="108">
        <f>+'RESUMIDO PRIVADO COMPARADO'!C19</f>
        <v>346872988</v>
      </c>
      <c r="E24" s="124">
        <f>+C24-D24</f>
        <v>54066421.481999993</v>
      </c>
      <c r="F24" s="125">
        <f t="shared" si="4"/>
        <v>0.15586806512013554</v>
      </c>
    </row>
    <row r="25" spans="2:6" x14ac:dyDescent="0.35">
      <c r="B25" s="126" t="s">
        <v>296</v>
      </c>
      <c r="C25" s="127">
        <f>+C23-C24</f>
        <v>15199938.717999995</v>
      </c>
      <c r="D25" s="127">
        <f t="shared" ref="D25:E25" si="6">+D23-D24</f>
        <v>35419030</v>
      </c>
      <c r="E25" s="127">
        <f t="shared" si="6"/>
        <v>-20219091.282000005</v>
      </c>
      <c r="F25" s="128">
        <f t="shared" si="4"/>
        <v>-0.57085389639411366</v>
      </c>
    </row>
    <row r="26" spans="2:6" ht="7.5" customHeight="1" x14ac:dyDescent="0.35">
      <c r="B26" s="107"/>
      <c r="C26" s="108"/>
      <c r="D26" s="107"/>
      <c r="E26" s="107"/>
      <c r="F26" s="125"/>
    </row>
    <row r="27" spans="2:6" x14ac:dyDescent="0.35">
      <c r="B27" s="126" t="s">
        <v>299</v>
      </c>
      <c r="C27" s="127">
        <f>+C21+C25</f>
        <v>137410721.85137469</v>
      </c>
      <c r="D27" s="127">
        <f t="shared" ref="D27:E27" si="7">+D21+D25</f>
        <v>135257296.28629589</v>
      </c>
      <c r="E27" s="127">
        <f t="shared" si="7"/>
        <v>2153425.565078795</v>
      </c>
      <c r="F27" s="128">
        <f t="shared" si="4"/>
        <v>1.5920956755787061E-2</v>
      </c>
    </row>
  </sheetData>
  <mergeCells count="2">
    <mergeCell ref="B3:F3"/>
    <mergeCell ref="B16:F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2:E28"/>
  <sheetViews>
    <sheetView showGridLines="0" workbookViewId="0">
      <selection activeCell="D22" sqref="D22:D23"/>
    </sheetView>
  </sheetViews>
  <sheetFormatPr baseColWidth="10" defaultRowHeight="14.5" x14ac:dyDescent="0.35"/>
  <cols>
    <col min="2" max="2" width="27.26953125" customWidth="1"/>
    <col min="3" max="3" width="19.26953125" bestFit="1" customWidth="1"/>
    <col min="4" max="4" width="19.81640625" customWidth="1"/>
    <col min="5" max="5" width="19.26953125" bestFit="1" customWidth="1"/>
  </cols>
  <sheetData>
    <row r="2" spans="2:5" ht="15.5" x14ac:dyDescent="0.35">
      <c r="B2" s="421" t="s">
        <v>552</v>
      </c>
      <c r="C2" s="421"/>
      <c r="D2" s="421"/>
      <c r="E2" s="421"/>
    </row>
    <row r="3" spans="2:5" ht="16" x14ac:dyDescent="0.35">
      <c r="B3" s="84"/>
      <c r="C3" s="84"/>
      <c r="D3" s="84"/>
      <c r="E3" s="84"/>
    </row>
    <row r="4" spans="2:5" ht="15.5" x14ac:dyDescent="0.35">
      <c r="B4" s="85" t="s">
        <v>136</v>
      </c>
      <c r="C4" s="85" t="s">
        <v>305</v>
      </c>
      <c r="D4" s="85" t="s">
        <v>306</v>
      </c>
      <c r="E4" s="85" t="s">
        <v>4</v>
      </c>
    </row>
    <row r="5" spans="2:5" ht="10.5" customHeight="1" x14ac:dyDescent="0.35">
      <c r="B5" s="86"/>
      <c r="C5" s="86"/>
      <c r="D5" s="86"/>
      <c r="E5" s="86"/>
    </row>
    <row r="6" spans="2:5" ht="16" x14ac:dyDescent="0.35">
      <c r="B6" s="86" t="s">
        <v>833</v>
      </c>
      <c r="C6" s="87">
        <f>+'RESUMIDO PUBLICO COMPARADO'!C5</f>
        <v>2468272504.2862959</v>
      </c>
      <c r="D6" s="87">
        <f>+'RESUMIDO PRIVADO COMPARADO'!C5</f>
        <v>382292018</v>
      </c>
      <c r="E6" s="87">
        <f>+C6+D6</f>
        <v>2850564522.2862959</v>
      </c>
    </row>
    <row r="7" spans="2:5" ht="7.5" customHeight="1" x14ac:dyDescent="0.35">
      <c r="B7" s="86"/>
      <c r="C7" s="87"/>
      <c r="D7" s="87"/>
      <c r="E7" s="87"/>
    </row>
    <row r="8" spans="2:5" ht="15.5" x14ac:dyDescent="0.35">
      <c r="B8" s="85" t="s">
        <v>300</v>
      </c>
      <c r="C8" s="85"/>
      <c r="D8" s="85"/>
      <c r="E8" s="85"/>
    </row>
    <row r="9" spans="2:5" ht="7.5" customHeight="1" x14ac:dyDescent="0.35">
      <c r="B9" s="86"/>
      <c r="C9" s="87"/>
      <c r="D9" s="87"/>
      <c r="E9" s="87"/>
    </row>
    <row r="10" spans="2:5" ht="16" x14ac:dyDescent="0.35">
      <c r="B10" s="86" t="s">
        <v>833</v>
      </c>
      <c r="C10" s="87">
        <f>+'RESUMIDO PUBLICO COMPARADO'!C24</f>
        <v>2368434238</v>
      </c>
      <c r="D10" s="87">
        <f>+'RESUMIDO PRIVADO COMPARADO'!C19</f>
        <v>346872988</v>
      </c>
      <c r="E10" s="87">
        <f>+C10+D10</f>
        <v>2715307226</v>
      </c>
    </row>
    <row r="11" spans="2:5" ht="7.5" customHeight="1" x14ac:dyDescent="0.35">
      <c r="B11" s="86"/>
      <c r="C11" s="87"/>
      <c r="D11" s="87"/>
      <c r="E11" s="87"/>
    </row>
    <row r="12" spans="2:5" ht="15.5" x14ac:dyDescent="0.35">
      <c r="B12" s="236" t="s">
        <v>301</v>
      </c>
      <c r="C12" s="237">
        <f>+C6-C10</f>
        <v>99838266.286295891</v>
      </c>
      <c r="D12" s="237">
        <f t="shared" ref="D12:E12" si="0">+D6-D10</f>
        <v>35419030</v>
      </c>
      <c r="E12" s="237">
        <f t="shared" si="0"/>
        <v>135257296.28629589</v>
      </c>
    </row>
    <row r="13" spans="2:5" ht="6.75" customHeight="1" x14ac:dyDescent="0.35">
      <c r="B13" s="86"/>
      <c r="C13" s="87"/>
      <c r="D13" s="87"/>
      <c r="E13" s="87"/>
    </row>
    <row r="14" spans="2:5" ht="16" x14ac:dyDescent="0.35">
      <c r="B14" s="86" t="s">
        <v>302</v>
      </c>
      <c r="C14" s="87">
        <f>+'PUBLICO COMPLETO'!O447</f>
        <v>0</v>
      </c>
      <c r="D14" s="87">
        <f>+'PRIVADO COMPLETO'!B233</f>
        <v>5489000</v>
      </c>
      <c r="E14" s="87"/>
    </row>
    <row r="15" spans="2:5" ht="7.5" customHeight="1" x14ac:dyDescent="0.35">
      <c r="B15" s="86"/>
      <c r="C15" s="87"/>
      <c r="D15" s="87"/>
      <c r="E15" s="87"/>
    </row>
    <row r="16" spans="2:5" ht="15.5" x14ac:dyDescent="0.35">
      <c r="B16" s="238" t="s">
        <v>314</v>
      </c>
      <c r="C16" s="237">
        <f>+C12-C14</f>
        <v>99838266.286295891</v>
      </c>
      <c r="D16" s="237">
        <f t="shared" ref="D16:E16" si="1">+D12-D14</f>
        <v>29930030</v>
      </c>
      <c r="E16" s="237">
        <f t="shared" si="1"/>
        <v>135257296.28629589</v>
      </c>
    </row>
    <row r="17" spans="2:5" ht="6.75" customHeight="1" x14ac:dyDescent="0.35">
      <c r="B17" s="86"/>
      <c r="C17" s="87"/>
      <c r="D17" s="87"/>
      <c r="E17" s="87"/>
    </row>
    <row r="18" spans="2:5" ht="16" x14ac:dyDescent="0.35">
      <c r="B18" s="86" t="s">
        <v>303</v>
      </c>
      <c r="C18" s="87">
        <f>+'RESUMIDO PUBLICO COMPARADO'!C36</f>
        <v>97000000</v>
      </c>
      <c r="D18" s="87">
        <f>+'RESUMIDO PRIVADO COMPARADO'!C30</f>
        <v>79867000</v>
      </c>
      <c r="E18" s="87">
        <f>+C18+D18</f>
        <v>176867000</v>
      </c>
    </row>
    <row r="19" spans="2:5" ht="16" x14ac:dyDescent="0.35">
      <c r="B19" s="86" t="s">
        <v>304</v>
      </c>
      <c r="C19" s="87">
        <f>+'RESUMIDO PUBLICO COMPARADO'!C37</f>
        <v>13421600</v>
      </c>
      <c r="D19" s="87">
        <v>0</v>
      </c>
      <c r="E19" s="87">
        <f>+C19+D19</f>
        <v>13421600</v>
      </c>
    </row>
    <row r="20" spans="2:5" ht="9" customHeight="1" x14ac:dyDescent="0.35">
      <c r="B20" s="86"/>
      <c r="C20" s="87"/>
      <c r="D20" s="87"/>
      <c r="E20" s="87"/>
    </row>
    <row r="21" spans="2:5" ht="15.5" x14ac:dyDescent="0.35">
      <c r="B21" s="91" t="s">
        <v>307</v>
      </c>
      <c r="C21" s="92">
        <f>+C16+C18+C19</f>
        <v>210259866.28629589</v>
      </c>
      <c r="D21" s="92">
        <f t="shared" ref="D21:E21" si="2">+D16+D18+D19</f>
        <v>109797030</v>
      </c>
      <c r="E21" s="92">
        <f t="shared" si="2"/>
        <v>325545896.28629589</v>
      </c>
    </row>
    <row r="23" spans="2:5" x14ac:dyDescent="0.35">
      <c r="E23" s="235"/>
    </row>
    <row r="28" spans="2:5" ht="14.25" customHeight="1" x14ac:dyDescent="0.35"/>
  </sheetData>
  <mergeCells count="1">
    <mergeCell ref="B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2:F26"/>
  <sheetViews>
    <sheetView showGridLines="0" topLeftCell="A7" workbookViewId="0">
      <selection activeCell="D25" sqref="D25"/>
    </sheetView>
  </sheetViews>
  <sheetFormatPr baseColWidth="10" defaultRowHeight="14.5" x14ac:dyDescent="0.35"/>
  <cols>
    <col min="2" max="2" width="27.26953125" customWidth="1"/>
    <col min="3" max="3" width="19.26953125" bestFit="1" customWidth="1"/>
    <col min="4" max="4" width="19.81640625" customWidth="1"/>
    <col min="5" max="5" width="19.26953125" bestFit="1" customWidth="1"/>
  </cols>
  <sheetData>
    <row r="2" spans="2:6" ht="15.5" x14ac:dyDescent="0.35">
      <c r="B2" s="170" t="s">
        <v>414</v>
      </c>
      <c r="C2" s="170"/>
      <c r="D2" s="170"/>
      <c r="E2" s="170"/>
    </row>
    <row r="3" spans="2:6" ht="16" x14ac:dyDescent="0.35">
      <c r="B3" s="84"/>
      <c r="C3" s="84"/>
      <c r="D3" s="84"/>
      <c r="E3" s="84"/>
    </row>
    <row r="4" spans="2:6" ht="15.5" x14ac:dyDescent="0.35">
      <c r="B4" s="85" t="s">
        <v>292</v>
      </c>
      <c r="C4" s="85" t="s">
        <v>355</v>
      </c>
      <c r="D4" s="85" t="s">
        <v>415</v>
      </c>
      <c r="E4" s="85" t="s">
        <v>417</v>
      </c>
      <c r="F4" s="85" t="s">
        <v>418</v>
      </c>
    </row>
    <row r="5" spans="2:6" ht="10.5" customHeight="1" x14ac:dyDescent="0.35">
      <c r="B5" s="86"/>
      <c r="C5" s="86"/>
      <c r="D5" s="86"/>
      <c r="E5" s="86"/>
    </row>
    <row r="6" spans="2:6" ht="16" x14ac:dyDescent="0.35">
      <c r="B6" s="86"/>
      <c r="C6" s="87">
        <v>2483883085</v>
      </c>
      <c r="D6" s="87">
        <f>+'FLUJO PY 2017'!C6</f>
        <v>2468272504.2862959</v>
      </c>
      <c r="E6" s="87">
        <f>+D6-C6</f>
        <v>-15610580.713704109</v>
      </c>
      <c r="F6" s="171">
        <f>+(D6/C6)</f>
        <v>0.99371525141099626</v>
      </c>
    </row>
    <row r="7" spans="2:6" ht="7.5" customHeight="1" x14ac:dyDescent="0.35">
      <c r="B7" s="86"/>
      <c r="C7" s="87"/>
      <c r="D7" s="87"/>
      <c r="E7" s="87"/>
    </row>
    <row r="8" spans="2:6" ht="15.5" x14ac:dyDescent="0.35">
      <c r="B8" s="85" t="s">
        <v>293</v>
      </c>
      <c r="C8" s="85" t="s">
        <v>355</v>
      </c>
      <c r="D8" s="85" t="s">
        <v>415</v>
      </c>
      <c r="E8" s="85" t="s">
        <v>4</v>
      </c>
      <c r="F8" s="168"/>
    </row>
    <row r="9" spans="2:6" ht="7.5" customHeight="1" x14ac:dyDescent="0.35">
      <c r="B9" s="86"/>
      <c r="C9" s="87"/>
      <c r="D9" s="87"/>
      <c r="E9" s="87"/>
    </row>
    <row r="10" spans="2:6" ht="16" x14ac:dyDescent="0.35">
      <c r="B10" s="86"/>
      <c r="C10" s="87">
        <v>2450845030</v>
      </c>
      <c r="D10" s="87">
        <f>+'FLUJO PY 2017'!C10</f>
        <v>2368434238</v>
      </c>
      <c r="E10" s="87">
        <f>+D10-C10</f>
        <v>-82410792</v>
      </c>
      <c r="F10" s="171">
        <f>+(D10/C10)</f>
        <v>0.96637453980515442</v>
      </c>
    </row>
    <row r="11" spans="2:6" ht="7.5" customHeight="1" x14ac:dyDescent="0.35">
      <c r="B11" s="86"/>
      <c r="C11" s="87"/>
      <c r="D11" s="87"/>
      <c r="E11" s="87"/>
    </row>
    <row r="12" spans="2:6" ht="15.5" x14ac:dyDescent="0.35">
      <c r="B12" s="166" t="s">
        <v>301</v>
      </c>
      <c r="C12" s="165">
        <f>+C6-C10</f>
        <v>33038055</v>
      </c>
      <c r="D12" s="165">
        <f t="shared" ref="D12:E12" si="0">+D6-D10</f>
        <v>99838266.286295891</v>
      </c>
      <c r="E12" s="165">
        <f t="shared" si="0"/>
        <v>66800211.286295891</v>
      </c>
      <c r="F12" s="169"/>
    </row>
    <row r="13" spans="2:6" ht="6.75" customHeight="1" x14ac:dyDescent="0.35">
      <c r="B13" s="86"/>
      <c r="C13" s="87"/>
      <c r="D13" s="87"/>
      <c r="E13" s="87"/>
    </row>
    <row r="14" spans="2:6" ht="6.75" customHeight="1" x14ac:dyDescent="0.35">
      <c r="B14" s="86"/>
      <c r="C14" s="87"/>
      <c r="D14" s="87"/>
      <c r="E14" s="87"/>
    </row>
    <row r="16" spans="2:6" ht="15.5" x14ac:dyDescent="0.35">
      <c r="B16" s="85" t="s">
        <v>295</v>
      </c>
      <c r="C16" s="85" t="s">
        <v>355</v>
      </c>
      <c r="D16" s="85" t="s">
        <v>415</v>
      </c>
      <c r="E16" s="85" t="s">
        <v>4</v>
      </c>
      <c r="F16" s="168"/>
    </row>
    <row r="17" spans="2:6" ht="12" customHeight="1" x14ac:dyDescent="0.35">
      <c r="B17" s="86"/>
      <c r="C17" s="86"/>
      <c r="D17" s="86"/>
      <c r="E17" s="86"/>
    </row>
    <row r="18" spans="2:6" ht="16" x14ac:dyDescent="0.35">
      <c r="B18" s="86"/>
      <c r="C18" s="87">
        <v>396617971.33028114</v>
      </c>
      <c r="D18" s="87">
        <f>+'FLUJO PY 2017'!D6</f>
        <v>382292018</v>
      </c>
      <c r="E18" s="87">
        <f>+D18-C18</f>
        <v>-14325953.330281138</v>
      </c>
      <c r="F18" s="171">
        <f>+(D18/C18)</f>
        <v>0.96387971709342624</v>
      </c>
    </row>
    <row r="19" spans="2:6" ht="9.75" customHeight="1" x14ac:dyDescent="0.35">
      <c r="B19" s="86"/>
      <c r="C19" s="87"/>
      <c r="D19" s="87"/>
      <c r="E19" s="87"/>
    </row>
    <row r="20" spans="2:6" ht="15.5" x14ac:dyDescent="0.35">
      <c r="B20" s="85" t="s">
        <v>416</v>
      </c>
      <c r="C20" s="85" t="s">
        <v>355</v>
      </c>
      <c r="D20" s="85" t="s">
        <v>415</v>
      </c>
      <c r="E20" s="85" t="s">
        <v>4</v>
      </c>
      <c r="F20" s="168"/>
    </row>
    <row r="21" spans="2:6" ht="9.75" customHeight="1" x14ac:dyDescent="0.35">
      <c r="B21" s="86"/>
      <c r="C21" s="87"/>
      <c r="D21" s="87"/>
      <c r="E21" s="87"/>
    </row>
    <row r="22" spans="2:6" ht="16" x14ac:dyDescent="0.35">
      <c r="B22" s="86"/>
      <c r="C22" s="87">
        <v>382813583</v>
      </c>
      <c r="D22" s="87">
        <f>+'FLUJO PY 2017'!D10</f>
        <v>346872988</v>
      </c>
      <c r="E22" s="87">
        <f>+D22-C22</f>
        <v>-35940595</v>
      </c>
      <c r="F22" s="171">
        <f>+(D22/C22)</f>
        <v>0.9061146296890934</v>
      </c>
    </row>
    <row r="23" spans="2:6" ht="11.25" customHeight="1" x14ac:dyDescent="0.35">
      <c r="B23" s="86"/>
      <c r="C23" s="87"/>
      <c r="D23" s="87"/>
      <c r="E23" s="87"/>
    </row>
    <row r="24" spans="2:6" ht="15.5" x14ac:dyDescent="0.35">
      <c r="B24" s="166" t="s">
        <v>301</v>
      </c>
      <c r="C24" s="165">
        <f>+C18-C22</f>
        <v>13804388.330281138</v>
      </c>
      <c r="D24" s="165">
        <f t="shared" ref="D24:E24" si="1">+D18-D22</f>
        <v>35419030</v>
      </c>
      <c r="E24" s="165">
        <f t="shared" si="1"/>
        <v>21614641.669718862</v>
      </c>
      <c r="F24" s="169"/>
    </row>
    <row r="25" spans="2:6" ht="16" x14ac:dyDescent="0.35">
      <c r="B25" s="86"/>
      <c r="C25" s="87"/>
      <c r="D25" s="87"/>
      <c r="E25" s="87"/>
    </row>
    <row r="26" spans="2:6" x14ac:dyDescent="0.35">
      <c r="C26" s="167"/>
      <c r="D26" s="167"/>
      <c r="E26" s="16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2:E21"/>
  <sheetViews>
    <sheetView showGridLines="0" workbookViewId="0">
      <selection activeCell="C22" sqref="C22"/>
    </sheetView>
  </sheetViews>
  <sheetFormatPr baseColWidth="10" defaultRowHeight="14.5" x14ac:dyDescent="0.35"/>
  <cols>
    <col min="2" max="2" width="27.26953125" customWidth="1"/>
    <col min="3" max="3" width="19.26953125" bestFit="1" customWidth="1"/>
    <col min="4" max="4" width="19.81640625" customWidth="1"/>
    <col min="5" max="5" width="19.26953125" bestFit="1" customWidth="1"/>
  </cols>
  <sheetData>
    <row r="2" spans="2:5" ht="15.5" x14ac:dyDescent="0.35">
      <c r="B2" s="421" t="s">
        <v>834</v>
      </c>
      <c r="C2" s="421"/>
      <c r="D2" s="421"/>
      <c r="E2" s="421"/>
    </row>
    <row r="3" spans="2:5" ht="16" x14ac:dyDescent="0.35">
      <c r="B3" s="84"/>
      <c r="C3" s="84"/>
      <c r="D3" s="84"/>
      <c r="E3" s="84"/>
    </row>
    <row r="4" spans="2:5" ht="15.5" x14ac:dyDescent="0.35">
      <c r="B4" s="85" t="s">
        <v>136</v>
      </c>
      <c r="C4" s="85" t="s">
        <v>305</v>
      </c>
      <c r="D4" s="85" t="s">
        <v>306</v>
      </c>
      <c r="E4" s="85" t="s">
        <v>4</v>
      </c>
    </row>
    <row r="5" spans="2:5" ht="10.5" customHeight="1" x14ac:dyDescent="0.35">
      <c r="B5" s="86"/>
      <c r="C5" s="86"/>
      <c r="D5" s="86"/>
      <c r="E5" s="86"/>
    </row>
    <row r="6" spans="2:5" ht="16" x14ac:dyDescent="0.35">
      <c r="B6" s="86" t="s">
        <v>835</v>
      </c>
      <c r="C6" s="87">
        <f>+'RESUMEN GENERAL'!C5</f>
        <v>2760882343.5690656</v>
      </c>
      <c r="D6" s="87">
        <f>+'RESUMEN GENERAL'!C9</f>
        <v>416139348.19999999</v>
      </c>
      <c r="E6" s="87">
        <f>+C6+D6</f>
        <v>3177021691.7690654</v>
      </c>
    </row>
    <row r="7" spans="2:5" ht="7.5" customHeight="1" x14ac:dyDescent="0.35">
      <c r="B7" s="86"/>
      <c r="C7" s="87"/>
      <c r="D7" s="87"/>
      <c r="E7" s="87"/>
    </row>
    <row r="8" spans="2:5" ht="16" x14ac:dyDescent="0.35">
      <c r="B8" s="88" t="s">
        <v>300</v>
      </c>
      <c r="C8" s="87"/>
      <c r="D8" s="87"/>
      <c r="E8" s="87"/>
    </row>
    <row r="9" spans="2:5" ht="7.5" customHeight="1" x14ac:dyDescent="0.35">
      <c r="B9" s="86"/>
      <c r="C9" s="87"/>
      <c r="D9" s="87"/>
      <c r="E9" s="87"/>
    </row>
    <row r="10" spans="2:5" ht="16" x14ac:dyDescent="0.35">
      <c r="B10" s="86" t="s">
        <v>836</v>
      </c>
      <c r="C10" s="87">
        <f>+'RESUMEN GENERAL'!C6</f>
        <v>2638671560.4356909</v>
      </c>
      <c r="D10" s="87">
        <f>+'RESUMEN GENERAL'!C10</f>
        <v>400939409.48199999</v>
      </c>
      <c r="E10" s="87">
        <f>+C10+D10</f>
        <v>3039610969.9176908</v>
      </c>
    </row>
    <row r="11" spans="2:5" ht="7.5" customHeight="1" x14ac:dyDescent="0.35">
      <c r="B11" s="86"/>
      <c r="C11" s="87"/>
      <c r="D11" s="87"/>
      <c r="E11" s="87"/>
    </row>
    <row r="12" spans="2:5" ht="15.5" x14ac:dyDescent="0.35">
      <c r="B12" s="89" t="s">
        <v>301</v>
      </c>
      <c r="C12" s="90">
        <f>+C6-C10</f>
        <v>122210783.13337469</v>
      </c>
      <c r="D12" s="90">
        <f t="shared" ref="D12:E12" si="0">+D6-D10</f>
        <v>15199938.717999995</v>
      </c>
      <c r="E12" s="90">
        <f t="shared" si="0"/>
        <v>137410721.85137463</v>
      </c>
    </row>
    <row r="13" spans="2:5" ht="6.75" customHeight="1" x14ac:dyDescent="0.35">
      <c r="B13" s="86"/>
      <c r="C13" s="87"/>
      <c r="D13" s="87"/>
      <c r="E13" s="87"/>
    </row>
    <row r="14" spans="2:5" ht="16" x14ac:dyDescent="0.35">
      <c r="B14" s="86" t="s">
        <v>302</v>
      </c>
      <c r="C14" s="87">
        <f>+'PUBLICO COMPLETO'!O447</f>
        <v>0</v>
      </c>
      <c r="D14" s="87">
        <f>+'PRIVADO COMPLETO'!O233</f>
        <v>26105000</v>
      </c>
      <c r="E14" s="87"/>
    </row>
    <row r="15" spans="2:5" ht="7.5" customHeight="1" x14ac:dyDescent="0.35">
      <c r="B15" s="86"/>
      <c r="C15" s="87"/>
      <c r="D15" s="87"/>
      <c r="E15" s="87"/>
    </row>
    <row r="16" spans="2:5" ht="15.5" x14ac:dyDescent="0.35">
      <c r="B16" s="89" t="s">
        <v>314</v>
      </c>
      <c r="C16" s="90">
        <f>+C12-C14</f>
        <v>122210783.13337469</v>
      </c>
      <c r="D16" s="90">
        <f t="shared" ref="D16:E16" si="1">+D12-D14</f>
        <v>-10905061.282000005</v>
      </c>
      <c r="E16" s="90">
        <f t="shared" si="1"/>
        <v>137410721.85137463</v>
      </c>
    </row>
    <row r="17" spans="2:5" ht="6.75" customHeight="1" x14ac:dyDescent="0.35">
      <c r="B17" s="86"/>
      <c r="C17" s="87"/>
      <c r="D17" s="87"/>
      <c r="E17" s="87"/>
    </row>
    <row r="18" spans="2:5" ht="16" x14ac:dyDescent="0.35">
      <c r="B18" s="86" t="s">
        <v>303</v>
      </c>
      <c r="C18" s="87">
        <f>+'RESUMIDO PUBLICO COMPARADO'!B36</f>
        <v>90408000</v>
      </c>
      <c r="D18" s="87">
        <f>+'RESUMIDO PRIVADO COMPARADO'!B30</f>
        <v>88800000</v>
      </c>
      <c r="E18" s="87">
        <f>+C18+D18</f>
        <v>179208000</v>
      </c>
    </row>
    <row r="19" spans="2:5" ht="16" x14ac:dyDescent="0.35">
      <c r="B19" s="86" t="s">
        <v>304</v>
      </c>
      <c r="C19" s="87">
        <f>+'RESUMIDO PUBLICO COMPARADO'!B37</f>
        <v>24986000</v>
      </c>
      <c r="D19" s="87">
        <f>+'RESUMIDO PRIVADO COMPARADO'!B31</f>
        <v>0</v>
      </c>
      <c r="E19" s="87">
        <f>+C19+D19</f>
        <v>24986000</v>
      </c>
    </row>
    <row r="20" spans="2:5" ht="9" customHeight="1" x14ac:dyDescent="0.35">
      <c r="B20" s="86"/>
      <c r="C20" s="87"/>
      <c r="D20" s="87"/>
      <c r="E20" s="87"/>
    </row>
    <row r="21" spans="2:5" ht="15.5" x14ac:dyDescent="0.35">
      <c r="B21" s="91" t="s">
        <v>307</v>
      </c>
      <c r="C21" s="92">
        <f>+C16+C18+C19</f>
        <v>237604783.13337469</v>
      </c>
      <c r="D21" s="92">
        <f t="shared" ref="D21:E21" si="2">+D16+D18+D19</f>
        <v>77894938.717999995</v>
      </c>
      <c r="E21" s="92">
        <f t="shared" si="2"/>
        <v>341604721.85137463</v>
      </c>
    </row>
  </sheetData>
  <mergeCells count="1"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B3:J291"/>
  <sheetViews>
    <sheetView showGridLines="0" topLeftCell="A284" workbookViewId="0">
      <selection activeCell="C22" sqref="C22"/>
    </sheetView>
  </sheetViews>
  <sheetFormatPr baseColWidth="10" defaultRowHeight="14.5" x14ac:dyDescent="0.35"/>
  <cols>
    <col min="2" max="2" width="64" bestFit="1" customWidth="1"/>
    <col min="3" max="3" width="14.1796875" bestFit="1" customWidth="1"/>
    <col min="4" max="4" width="15.54296875" customWidth="1"/>
    <col min="6" max="6" width="20" bestFit="1" customWidth="1"/>
    <col min="7" max="7" width="24.81640625" bestFit="1" customWidth="1"/>
  </cols>
  <sheetData>
    <row r="3" spans="2:3" x14ac:dyDescent="0.35">
      <c r="B3" s="134" t="s">
        <v>320</v>
      </c>
      <c r="C3" s="135">
        <f>+SUM(C5:C24)</f>
        <v>151934000</v>
      </c>
    </row>
    <row r="4" spans="2:3" ht="6.75" customHeight="1" x14ac:dyDescent="0.35">
      <c r="B4" s="132"/>
      <c r="C4" s="136"/>
    </row>
    <row r="5" spans="2:3" x14ac:dyDescent="0.35">
      <c r="B5" s="132" t="str">
        <f>+'PUBLICO COMPLETO'!A86</f>
        <v>Revisoría Fiscal</v>
      </c>
      <c r="C5" s="136">
        <f>+'PUBLICO COMPLETO'!O86</f>
        <v>21184000</v>
      </c>
    </row>
    <row r="6" spans="2:3" hidden="1" x14ac:dyDescent="0.35">
      <c r="B6" s="132" t="str">
        <f>+'PUBLICO COMPLETO'!A87</f>
        <v>Consultoria SG-SST</v>
      </c>
      <c r="C6" s="136">
        <f>+'PUBLICO COMPLETO'!O87</f>
        <v>7094000.0000000009</v>
      </c>
    </row>
    <row r="7" spans="2:3" hidden="1" x14ac:dyDescent="0.35">
      <c r="B7" s="132" t="str">
        <f>+'PUBLICO COMPLETO'!A88</f>
        <v>Auditoría de seguimiento y ampliación alcance SGC</v>
      </c>
      <c r="C7" s="136">
        <f>+'PUBLICO COMPLETO'!O88</f>
        <v>4940000</v>
      </c>
    </row>
    <row r="8" spans="2:3" x14ac:dyDescent="0.35">
      <c r="B8" s="132" t="str">
        <f>+'PUBLICO COMPLETO'!A89</f>
        <v>Consultoria cadena de valor</v>
      </c>
      <c r="C8" s="136">
        <f>+'PUBLICO COMPLETO'!O89</f>
        <v>4000000</v>
      </c>
    </row>
    <row r="9" spans="2:3" x14ac:dyDescent="0.35">
      <c r="B9" s="132" t="str">
        <f>+'PUBLICO COMPLETO'!A90</f>
        <v>Procesos de selección</v>
      </c>
      <c r="C9" s="136">
        <f>+'PUBLICO COMPLETO'!O90</f>
        <v>4918000</v>
      </c>
    </row>
    <row r="10" spans="2:3" x14ac:dyDescent="0.35">
      <c r="B10" s="132" t="str">
        <f>+'PUBLICO COMPLETO'!A91</f>
        <v>Honorarios nutricion</v>
      </c>
      <c r="C10" s="136">
        <f>+'PUBLICO COMPLETO'!O91</f>
        <v>1000000</v>
      </c>
    </row>
    <row r="11" spans="2:3" x14ac:dyDescent="0.35">
      <c r="B11" s="132" t="str">
        <f>+'PUBLICO COMPLETO'!A92</f>
        <v>Capacitacion programa nuevos empresarios</v>
      </c>
      <c r="C11" s="136">
        <f>+'PUBLICO COMPLETO'!O92</f>
        <v>1000000</v>
      </c>
    </row>
    <row r="12" spans="2:3" x14ac:dyDescent="0.35">
      <c r="B12" s="132" t="str">
        <f>+'PUBLICO COMPLETO'!A93</f>
        <v xml:space="preserve">Caso penal </v>
      </c>
      <c r="C12" s="136">
        <f>+'PUBLICO COMPLETO'!O93</f>
        <v>10000000</v>
      </c>
    </row>
    <row r="13" spans="2:3" x14ac:dyDescent="0.35">
      <c r="B13" s="132" t="str">
        <f>+'PUBLICO COMPLETO'!A94</f>
        <v>Caso laboral</v>
      </c>
      <c r="C13" s="136">
        <f>+'PUBLICO COMPLETO'!O94</f>
        <v>10000000</v>
      </c>
    </row>
    <row r="14" spans="2:3" x14ac:dyDescent="0.35">
      <c r="B14" s="132" t="str">
        <f>+'PUBLICO COMPLETO'!A95</f>
        <v>Cliente incognito</v>
      </c>
      <c r="C14" s="136">
        <f>+'PUBLICO COMPLETO'!O95</f>
        <v>3000000</v>
      </c>
    </row>
    <row r="15" spans="2:3" x14ac:dyDescent="0.35">
      <c r="B15" s="132" t="str">
        <f>+'PUBLICO COMPLETO'!A96</f>
        <v>Honorarios concepto económico</v>
      </c>
      <c r="C15" s="136">
        <f>+'PUBLICO COMPLETO'!O96</f>
        <v>2000000</v>
      </c>
    </row>
    <row r="16" spans="2:3" x14ac:dyDescent="0.35">
      <c r="B16" s="132" t="str">
        <f>+'PUBLICO COMPLETO'!A97</f>
        <v>Montaje evento reconocimiento Cartago</v>
      </c>
      <c r="C16" s="136">
        <f>+'PUBLICO COMPLETO'!O97</f>
        <v>41600000</v>
      </c>
    </row>
    <row r="17" spans="2:3" x14ac:dyDescent="0.35">
      <c r="B17" s="132" t="str">
        <f>+'PUBLICO COMPLETO'!A98</f>
        <v>Alianzas para la innovacion</v>
      </c>
      <c r="C17" s="136">
        <f>+'PUBLICO COMPLETO'!O98</f>
        <v>2000000</v>
      </c>
    </row>
    <row r="18" spans="2:3" x14ac:dyDescent="0.35">
      <c r="B18" s="132" t="str">
        <f>+'PUBLICO COMPLETO'!A99</f>
        <v>Ges (turismo-Bordados)</v>
      </c>
      <c r="C18" s="136">
        <f>+'PUBLICO COMPLETO'!O99</f>
        <v>24100000</v>
      </c>
    </row>
    <row r="19" spans="2:3" x14ac:dyDescent="0.35">
      <c r="B19" s="132" t="str">
        <f>+'PUBLICO COMPLETO'!A100</f>
        <v>Examenes medicos periodicos</v>
      </c>
      <c r="C19" s="136">
        <f>+'PUBLICO COMPLETO'!O100</f>
        <v>1032000</v>
      </c>
    </row>
    <row r="20" spans="2:3" x14ac:dyDescent="0.35">
      <c r="B20" s="132" t="str">
        <f>+'PUBLICO COMPLETO'!A101</f>
        <v>Examenes psicosociales</v>
      </c>
      <c r="C20" s="136">
        <f>+'PUBLICO COMPLETO'!O101</f>
        <v>1042000</v>
      </c>
    </row>
    <row r="21" spans="2:3" x14ac:dyDescent="0.35">
      <c r="B21" s="132" t="str">
        <f>+'PUBLICO COMPLETO'!A103</f>
        <v>Honorarios conciliadores</v>
      </c>
      <c r="C21" s="136">
        <f>+'PUBLICO COMPLETO'!O103</f>
        <v>7524000</v>
      </c>
    </row>
    <row r="22" spans="2:3" x14ac:dyDescent="0.35">
      <c r="B22" s="132" t="str">
        <f>+'PUBLICO COMPLETO'!A104</f>
        <v>Emprendimiento</v>
      </c>
      <c r="C22" s="136">
        <f>+'PUBLICO COMPLETO'!O104</f>
        <v>900000</v>
      </c>
    </row>
    <row r="23" spans="2:3" x14ac:dyDescent="0.35">
      <c r="B23" s="132" t="str">
        <f>+'PUBLICO COMPLETO'!A105</f>
        <v>Capacitaciones gratuitas</v>
      </c>
      <c r="C23" s="136">
        <f>+'PUBLICO COMPLETO'!O105</f>
        <v>1600000</v>
      </c>
    </row>
    <row r="24" spans="2:3" x14ac:dyDescent="0.35">
      <c r="B24" s="132" t="str">
        <f>+'PUBLICO COMPLETO'!A106</f>
        <v>Costumbre mercantil</v>
      </c>
      <c r="C24" s="136">
        <f>+'PUBLICO COMPLETO'!O106</f>
        <v>3000000</v>
      </c>
    </row>
    <row r="25" spans="2:3" x14ac:dyDescent="0.35">
      <c r="B25" s="132"/>
    </row>
    <row r="26" spans="2:3" x14ac:dyDescent="0.35">
      <c r="B26" s="134" t="s">
        <v>321</v>
      </c>
      <c r="C26" s="135">
        <f>+C28+C35+C41+C49</f>
        <v>112393000</v>
      </c>
    </row>
    <row r="27" spans="2:3" ht="8.25" customHeight="1" x14ac:dyDescent="0.35">
      <c r="B27" s="132"/>
      <c r="C27" s="136"/>
    </row>
    <row r="28" spans="2:3" x14ac:dyDescent="0.35">
      <c r="B28" s="139" t="str">
        <f>+'PUBLICO COMPLETO'!A115</f>
        <v>CONSTRUCCIONES Y EDIFICACIONES</v>
      </c>
      <c r="C28" s="135">
        <f>+SUM(C29:C34)</f>
        <v>28218000</v>
      </c>
    </row>
    <row r="29" spans="2:3" x14ac:dyDescent="0.35">
      <c r="B29" s="132" t="str">
        <f>+'PUBLICO COMPLETO'!A116</f>
        <v>Alquiler oficina La Unión</v>
      </c>
      <c r="C29" s="136">
        <f>+'PUBLICO COMPLETO'!O116</f>
        <v>9816000</v>
      </c>
    </row>
    <row r="30" spans="2:3" x14ac:dyDescent="0.35">
      <c r="B30" s="132" t="str">
        <f>+'PUBLICO COMPLETO'!A117</f>
        <v>Alquiler espacio condensadoras La Unión</v>
      </c>
      <c r="C30" s="136">
        <f>+'PUBLICO COMPLETO'!O117</f>
        <v>2178000</v>
      </c>
    </row>
    <row r="31" spans="2:3" x14ac:dyDescent="0.35">
      <c r="B31" s="132" t="str">
        <f>+'PUBLICO COMPLETO'!A118</f>
        <v>Alquiler oficina Roldanillo</v>
      </c>
      <c r="C31" s="136">
        <f>+'PUBLICO COMPLETO'!O118</f>
        <v>10003000</v>
      </c>
    </row>
    <row r="32" spans="2:3" x14ac:dyDescent="0.35">
      <c r="B32" s="132" t="str">
        <f>+'PUBLICO COMPLETO'!A119</f>
        <v>Alquiler salon eventos reconocimiento</v>
      </c>
      <c r="C32" s="136">
        <f>+'PUBLICO COMPLETO'!O119</f>
        <v>300000</v>
      </c>
    </row>
    <row r="33" spans="2:3" x14ac:dyDescent="0.35">
      <c r="B33" s="132" t="str">
        <f>+'PUBLICO COMPLETO'!A120</f>
        <v>Alquiler espacio archivo (Iron Mountain)</v>
      </c>
      <c r="C33" s="136">
        <f>+'PUBLICO COMPLETO'!O120</f>
        <v>5921000.0000000009</v>
      </c>
    </row>
    <row r="34" spans="2:3" ht="6.75" customHeight="1" x14ac:dyDescent="0.35">
      <c r="B34" s="132"/>
      <c r="C34" s="136"/>
    </row>
    <row r="35" spans="2:3" x14ac:dyDescent="0.35">
      <c r="B35" s="139" t="str">
        <f>+'PUBLICO COMPLETO'!A121</f>
        <v>EQUIPO DE COMPUT Y COMUNICACIONES</v>
      </c>
      <c r="C35" s="135">
        <f>+SUM(C36:C39)</f>
        <v>65140000</v>
      </c>
    </row>
    <row r="36" spans="2:3" x14ac:dyDescent="0.35">
      <c r="B36" s="132" t="str">
        <f>+'PUBLICO COMPLETO'!A122</f>
        <v>Alquiler plataforma Internet Consultnetwork</v>
      </c>
      <c r="C36" s="136">
        <f>+'PUBLICO COMPLETO'!O122</f>
        <v>38762000</v>
      </c>
    </row>
    <row r="37" spans="2:3" x14ac:dyDescent="0.35">
      <c r="B37" s="132" t="str">
        <f>+'PUBLICO COMPLETO'!A123</f>
        <v>Alquiler canal único contingencia (UNE)</v>
      </c>
      <c r="C37" s="136">
        <f>+'PUBLICO COMPLETO'!O123</f>
        <v>10753000</v>
      </c>
    </row>
    <row r="38" spans="2:3" x14ac:dyDescent="0.35">
      <c r="B38" s="132" t="str">
        <f>+'PUBLICO COMPLETO'!A124</f>
        <v>Servicio alquiler impresora y 3 equipos para caja en temporada de renovacion</v>
      </c>
      <c r="C38" s="136">
        <f>+'PUBLICO COMPLETO'!O124</f>
        <v>1350000</v>
      </c>
    </row>
    <row r="39" spans="2:3" x14ac:dyDescent="0.35">
      <c r="B39" s="132" t="str">
        <f>+'PUBLICO COMPLETO'!A125</f>
        <v>Sistema intregrado de Gestión</v>
      </c>
      <c r="C39" s="136">
        <f>+'PUBLICO COMPLETO'!O125</f>
        <v>14275000.000000002</v>
      </c>
    </row>
    <row r="40" spans="2:3" ht="8.25" customHeight="1" x14ac:dyDescent="0.35">
      <c r="B40" s="132"/>
      <c r="C40" s="136"/>
    </row>
    <row r="41" spans="2:3" x14ac:dyDescent="0.35">
      <c r="B41" s="139" t="str">
        <f>+'PUBLICO COMPLETO'!A126</f>
        <v>OTROS ARRENDAMIENTO</v>
      </c>
      <c r="C41" s="135">
        <f>+SUM(C42:C47)</f>
        <v>18826999.999999996</v>
      </c>
    </row>
    <row r="42" spans="2:3" x14ac:dyDescent="0.35">
      <c r="B42" s="132" t="str">
        <f>+'PUBLICO COMPLETO'!A127</f>
        <v>Sistema Mensajes en Pantallas (Musicar)Cartago</v>
      </c>
      <c r="C42" s="136">
        <f>+'PUBLICO COMPLETO'!O127</f>
        <v>2118999.9999999995</v>
      </c>
    </row>
    <row r="43" spans="2:3" x14ac:dyDescent="0.35">
      <c r="B43" s="132" t="str">
        <f>+'PUBLICO COMPLETO'!A128</f>
        <v>Sistema Mensajes en Pantallas (Musicar)La Union</v>
      </c>
      <c r="C43" s="136">
        <f>+'PUBLICO COMPLETO'!O128</f>
        <v>750000</v>
      </c>
    </row>
    <row r="44" spans="2:3" x14ac:dyDescent="0.35">
      <c r="B44" s="132" t="str">
        <f>+'PUBLICO COMPLETO'!A129</f>
        <v>Sistema Mensajes en Pantallas (Musicar)Roldanillo</v>
      </c>
      <c r="C44" s="136">
        <f>+'PUBLICO COMPLETO'!O129</f>
        <v>750000</v>
      </c>
    </row>
    <row r="45" spans="2:3" x14ac:dyDescent="0.35">
      <c r="B45" s="132" t="str">
        <f>+'PUBLICO COMPLETO'!A130</f>
        <v>Sistema de Mensajeria Audicom (Musicar)Cartago</v>
      </c>
      <c r="C45" s="136">
        <f>+'PUBLICO COMPLETO'!O130</f>
        <v>13207999.999999998</v>
      </c>
    </row>
    <row r="46" spans="2:3" x14ac:dyDescent="0.35">
      <c r="B46" s="132" t="str">
        <f>+'PUBLICO COMPLETO'!A131</f>
        <v>Sistema de Mensajeria Audicom (Musicar)La Unión</v>
      </c>
      <c r="C46" s="136">
        <f>+'PUBLICO COMPLETO'!O131</f>
        <v>1000000.0000000001</v>
      </c>
    </row>
    <row r="47" spans="2:3" x14ac:dyDescent="0.35">
      <c r="B47" s="132" t="str">
        <f>+'PUBLICO COMPLETO'!A132</f>
        <v>Sistema de Mensajeria Audicom (Musicar)Roldanillo</v>
      </c>
      <c r="C47" s="136">
        <f>+'PUBLICO COMPLETO'!O132</f>
        <v>1000000.0000000001</v>
      </c>
    </row>
    <row r="48" spans="2:3" ht="6.75" customHeight="1" x14ac:dyDescent="0.35">
      <c r="B48" s="132"/>
      <c r="C48" s="136"/>
    </row>
    <row r="49" spans="2:3" x14ac:dyDescent="0.35">
      <c r="B49" s="139" t="str">
        <f>+'PUBLICO COMPLETO'!A133</f>
        <v>EQUIPO HOTELES Y RESTAURANTES</v>
      </c>
      <c r="C49" s="135">
        <f>+'PUBLICO COMPLETO'!O133</f>
        <v>207999.99999999997</v>
      </c>
    </row>
    <row r="52" spans="2:3" x14ac:dyDescent="0.35">
      <c r="B52" s="134" t="s">
        <v>495</v>
      </c>
      <c r="C52" s="135">
        <f>+SUM(C54:C62)</f>
        <v>271826000</v>
      </c>
    </row>
    <row r="54" spans="2:3" x14ac:dyDescent="0.35">
      <c r="B54" s="132" t="str">
        <f>+'CTAS MAYORES PUBLICO'!A71</f>
        <v>Aseo y vigilancia</v>
      </c>
      <c r="C54" s="136">
        <f>+'CTAS MAYORES PUBLICO'!B71</f>
        <v>31172000</v>
      </c>
    </row>
    <row r="55" spans="2:3" x14ac:dyDescent="0.35">
      <c r="B55" s="132" t="str">
        <f>+'CTAS MAYORES PUBLICO'!A72</f>
        <v>Temporales</v>
      </c>
      <c r="C55" s="136">
        <f>+'CTAS MAYORES PUBLICO'!B72</f>
        <v>2340000</v>
      </c>
    </row>
    <row r="56" spans="2:3" x14ac:dyDescent="0.35">
      <c r="B56" s="132" t="str">
        <f>+'CTAS MAYORES PUBLICO'!A73</f>
        <v>Acueducto y Alcantarillado</v>
      </c>
      <c r="C56" s="136">
        <f>+'CTAS MAYORES PUBLICO'!B73</f>
        <v>2088000</v>
      </c>
    </row>
    <row r="57" spans="2:3" x14ac:dyDescent="0.35">
      <c r="B57" s="132" t="str">
        <f>+'CTAS MAYORES PUBLICO'!A74</f>
        <v>Energía Eléctrica</v>
      </c>
      <c r="C57" s="136">
        <f>+'CTAS MAYORES PUBLICO'!B74</f>
        <v>45096000</v>
      </c>
    </row>
    <row r="58" spans="2:3" x14ac:dyDescent="0.35">
      <c r="B58" s="132" t="str">
        <f>+'CTAS MAYORES PUBLICO'!A75</f>
        <v>Teléfono</v>
      </c>
      <c r="C58" s="136">
        <f>+'CTAS MAYORES PUBLICO'!B75</f>
        <v>54300000</v>
      </c>
    </row>
    <row r="59" spans="2:3" x14ac:dyDescent="0.35">
      <c r="B59" s="132" t="str">
        <f>+'CTAS MAYORES PUBLICO'!A77</f>
        <v>Transportes fletes y acarreos</v>
      </c>
      <c r="C59" s="136">
        <f>+'CTAS MAYORES PUBLICO'!B77</f>
        <v>544000</v>
      </c>
    </row>
    <row r="60" spans="2:3" x14ac:dyDescent="0.35">
      <c r="B60" s="132" t="str">
        <f>+'CTAS MAYORES PUBLICO'!A76</f>
        <v>Correo, Portes y Telegramas</v>
      </c>
      <c r="C60" s="136">
        <f>+'CTAS MAYORES PUBLICO'!B76</f>
        <v>12534000</v>
      </c>
    </row>
    <row r="61" spans="2:3" x14ac:dyDescent="0.35">
      <c r="B61" s="132" t="str">
        <f>+'CTAS MAYORES PUBLICO'!A78</f>
        <v>Trabajos litográficos</v>
      </c>
      <c r="C61" s="136">
        <f>+'CTAS MAYORES PUBLICO'!B78</f>
        <v>44344000</v>
      </c>
    </row>
    <row r="62" spans="2:3" x14ac:dyDescent="0.35">
      <c r="B62" s="132" t="s">
        <v>220</v>
      </c>
      <c r="C62" s="136">
        <f>+'CTAS MAYORES PUBLICO'!B79</f>
        <v>79408000</v>
      </c>
    </row>
    <row r="65" spans="2:5" x14ac:dyDescent="0.35">
      <c r="B65" s="134" t="s">
        <v>496</v>
      </c>
      <c r="C65" s="135">
        <f>+SUM(C67:C74)</f>
        <v>102479000</v>
      </c>
    </row>
    <row r="67" spans="2:5" x14ac:dyDescent="0.35">
      <c r="B67" s="132" t="str">
        <f>+'CTAS MAYORES PUBLICO'!A112</f>
        <v>Libros, Suscripciones, periódicos, Revistas</v>
      </c>
      <c r="C67" s="136">
        <f>+'CTAS MAYORES PUBLICO'!B112</f>
        <v>1934000</v>
      </c>
    </row>
    <row r="68" spans="2:5" x14ac:dyDescent="0.35">
      <c r="B68" s="132" t="str">
        <f>+'CTAS MAYORES PUBLICO'!A113</f>
        <v>Elementos de Aseo y Cafetería</v>
      </c>
      <c r="C68" s="136">
        <f>+'CTAS MAYORES PUBLICO'!B113</f>
        <v>11304000</v>
      </c>
    </row>
    <row r="69" spans="2:5" x14ac:dyDescent="0.35">
      <c r="B69" s="132" t="str">
        <f>+'CTAS MAYORES PUBLICO'!A114</f>
        <v>Utiles, Papelería y Fotocopias</v>
      </c>
      <c r="C69" s="136">
        <f>+'CTAS MAYORES PUBLICO'!B114</f>
        <v>28080000</v>
      </c>
    </row>
    <row r="70" spans="2:5" x14ac:dyDescent="0.35">
      <c r="B70" s="132" t="str">
        <f>+'CTAS MAYORES PUBLICO'!A115</f>
        <v>Combustibles y Lubricantes</v>
      </c>
      <c r="C70" s="136">
        <f>+'CTAS MAYORES PUBLICO'!B115</f>
        <v>6900000</v>
      </c>
    </row>
    <row r="71" spans="2:5" x14ac:dyDescent="0.35">
      <c r="B71" s="132" t="str">
        <f>+'CTAS MAYORES PUBLICO'!A116</f>
        <v>Taxis y Buses</v>
      </c>
      <c r="C71" s="136">
        <f>+'CTAS MAYORES PUBLICO'!B116</f>
        <v>420000</v>
      </c>
    </row>
    <row r="72" spans="2:5" x14ac:dyDescent="0.35">
      <c r="B72" s="132" t="str">
        <f>+'CTAS MAYORES PUBLICO'!A117</f>
        <v>Casinos y Restaurante</v>
      </c>
      <c r="C72" s="136">
        <f>+'CTAS MAYORES PUBLICO'!B117</f>
        <v>23961000</v>
      </c>
    </row>
    <row r="73" spans="2:5" x14ac:dyDescent="0.35">
      <c r="B73" s="132" t="str">
        <f>+'CTAS MAYORES PUBLICO'!A118</f>
        <v>Parqueaderos</v>
      </c>
      <c r="C73" s="136">
        <f>+'CTAS MAYORES PUBLICO'!B118</f>
        <v>600000</v>
      </c>
    </row>
    <row r="74" spans="2:5" x14ac:dyDescent="0.35">
      <c r="B74" s="132" t="str">
        <f>+'CTAS MAYORES PUBLICO'!A119</f>
        <v>Otros</v>
      </c>
      <c r="C74" s="136">
        <f>+'CTAS MAYORES PUBLICO'!B119</f>
        <v>29280000</v>
      </c>
    </row>
    <row r="76" spans="2:5" x14ac:dyDescent="0.35">
      <c r="B76" s="134" t="s">
        <v>57</v>
      </c>
      <c r="C76" s="135">
        <f>+C78+C88+C101++C107</f>
        <v>100931000</v>
      </c>
    </row>
    <row r="77" spans="2:5" x14ac:dyDescent="0.35">
      <c r="B77" s="134"/>
    </row>
    <row r="78" spans="2:5" x14ac:dyDescent="0.35">
      <c r="B78" s="24" t="str">
        <f>+'PUBLICO COMPLETO'!A316</f>
        <v>Alojamiento y manutención</v>
      </c>
      <c r="C78" s="136">
        <f>+'PUBLICO COMPLETO'!O316</f>
        <v>26056000</v>
      </c>
      <c r="E78" s="138"/>
    </row>
    <row r="79" spans="2:5" hidden="1" x14ac:dyDescent="0.35">
      <c r="B79" s="24" t="str">
        <f>+'PUBLICO COMPLETO'!A317</f>
        <v xml:space="preserve">     Hospedaje  Reunión administrativos</v>
      </c>
      <c r="C79" s="216">
        <f>+'PUBLICO COMPLETO'!O317</f>
        <v>800000</v>
      </c>
      <c r="E79" s="138"/>
    </row>
    <row r="80" spans="2:5" hidden="1" x14ac:dyDescent="0.35">
      <c r="B80" s="24" t="str">
        <f>+'PUBLICO COMPLETO'!A318</f>
        <v xml:space="preserve">     Direccion Administrativa y Financiera</v>
      </c>
      <c r="C80" s="216">
        <f>+'PUBLICO COMPLETO'!O318</f>
        <v>1050000</v>
      </c>
    </row>
    <row r="81" spans="2:3" hidden="1" x14ac:dyDescent="0.35">
      <c r="B81" s="24" t="str">
        <f>+'PUBLICO COMPLETO'!A319</f>
        <v xml:space="preserve">     Hospedaje Gestión documental</v>
      </c>
      <c r="C81" s="216">
        <f>+'PUBLICO COMPLETO'!O319</f>
        <v>220000</v>
      </c>
    </row>
    <row r="82" spans="2:3" hidden="1" x14ac:dyDescent="0.35">
      <c r="B82" s="24" t="str">
        <f>+'PUBLICO COMPLETO'!A320</f>
        <v xml:space="preserve">     Hospedaje Direccion juridica</v>
      </c>
      <c r="C82" s="216">
        <f>+'PUBLICO COMPLETO'!O320</f>
        <v>2136000</v>
      </c>
    </row>
    <row r="83" spans="2:3" hidden="1" x14ac:dyDescent="0.35">
      <c r="B83" s="24" t="str">
        <f>+'PUBLICO COMPLETO'!A322</f>
        <v xml:space="preserve">     Hospedajes  Presidenta </v>
      </c>
      <c r="C83" s="216">
        <f>+'PUBLICO COMPLETO'!O322</f>
        <v>4200000</v>
      </c>
    </row>
    <row r="84" spans="2:3" hidden="1" x14ac:dyDescent="0.35">
      <c r="B84" s="24" t="str">
        <f>+'PUBLICO COMPLETO'!A323</f>
        <v xml:space="preserve">     Hospedaje Asamblea Confecámaras</v>
      </c>
      <c r="C84" s="216">
        <f>+'PUBLICO COMPLETO'!O323</f>
        <v>11770000</v>
      </c>
    </row>
    <row r="85" spans="2:3" hidden="1" x14ac:dyDescent="0.35">
      <c r="B85" s="24" t="str">
        <f>+'PUBLICO COMPLETO'!A325</f>
        <v xml:space="preserve">     Hospedaje auditor de Icontec</v>
      </c>
      <c r="C85" s="216">
        <f>+'PUBLICO COMPLETO'!O325</f>
        <v>172000</v>
      </c>
    </row>
    <row r="86" spans="2:3" hidden="1" x14ac:dyDescent="0.35">
      <c r="B86" s="24" t="str">
        <f>+'PUBLICO COMPLETO'!A327</f>
        <v xml:space="preserve">     Hospedaje Comunicaciones</v>
      </c>
      <c r="C86" s="216">
        <f>+'PUBLICO COMPLETO'!O327</f>
        <v>500000</v>
      </c>
    </row>
    <row r="87" spans="2:3" hidden="1" x14ac:dyDescent="0.35">
      <c r="B87" s="24" t="str">
        <f>+'PUBLICO COMPLETO'!A328</f>
        <v xml:space="preserve">     Hospedaje Competitividad</v>
      </c>
      <c r="C87" s="216">
        <f>+'PUBLICO COMPLETO'!O328</f>
        <v>1096000</v>
      </c>
    </row>
    <row r="88" spans="2:3" x14ac:dyDescent="0.35">
      <c r="B88" s="24" t="str">
        <f>+'PUBLICO COMPLETO'!A329</f>
        <v>Pasajes aéreos</v>
      </c>
      <c r="C88" s="216">
        <f>+'PUBLICO COMPLETO'!O329</f>
        <v>23308000</v>
      </c>
    </row>
    <row r="89" spans="2:3" hidden="1" x14ac:dyDescent="0.35">
      <c r="B89" s="24" t="str">
        <f>+'PUBLICO COMPLETO'!A330</f>
        <v xml:space="preserve">     Tiquete  Reunión administrativos</v>
      </c>
      <c r="C89" s="216">
        <f>+'PUBLICO COMPLETO'!O330</f>
        <v>800000</v>
      </c>
    </row>
    <row r="90" spans="2:3" hidden="1" x14ac:dyDescent="0.35">
      <c r="B90" s="24" t="str">
        <f>+'PUBLICO COMPLETO'!A331</f>
        <v xml:space="preserve">     Tiquete Direccion admitiva</v>
      </c>
      <c r="C90" s="216">
        <f>+'PUBLICO COMPLETO'!O331</f>
        <v>1615000</v>
      </c>
    </row>
    <row r="91" spans="2:3" hidden="1" x14ac:dyDescent="0.35">
      <c r="B91" s="24" t="str">
        <f>+'PUBLICO COMPLETO'!A332</f>
        <v xml:space="preserve">     Tiquete   Sistemas</v>
      </c>
      <c r="C91" s="216">
        <f>+'PUBLICO COMPLETO'!O332</f>
        <v>1323000</v>
      </c>
    </row>
    <row r="92" spans="2:3" hidden="1" x14ac:dyDescent="0.35">
      <c r="B92" s="24" t="str">
        <f>+'PUBLICO COMPLETO'!A333</f>
        <v xml:space="preserve">     Tiquete Direccion Juridica</v>
      </c>
      <c r="C92" s="216">
        <f>+'PUBLICO COMPLETO'!O333</f>
        <v>2604000</v>
      </c>
    </row>
    <row r="93" spans="2:3" hidden="1" x14ac:dyDescent="0.35">
      <c r="B93" s="24" t="str">
        <f>+'PUBLICO COMPLETO'!A334</f>
        <v xml:space="preserve">     Tiquetes Asamblea Confecámaras</v>
      </c>
      <c r="C93" s="216">
        <f>+'PUBLICO COMPLETO'!O334</f>
        <v>5523000</v>
      </c>
    </row>
    <row r="94" spans="2:3" hidden="1" x14ac:dyDescent="0.35">
      <c r="B94" s="24" t="str">
        <f>+'PUBLICO COMPLETO'!A335</f>
        <v xml:space="preserve">     Tiquetes Presidencia</v>
      </c>
      <c r="C94" s="216">
        <f>+'PUBLICO COMPLETO'!O335</f>
        <v>5500000</v>
      </c>
    </row>
    <row r="95" spans="2:3" hidden="1" x14ac:dyDescent="0.35">
      <c r="B95" s="24" t="str">
        <f>+'PUBLICO COMPLETO'!A336</f>
        <v xml:space="preserve">     Tiquete encuentro Nal.de Cámaras</v>
      </c>
      <c r="C95" s="216">
        <f>+'PUBLICO COMPLETO'!O336</f>
        <v>325000</v>
      </c>
    </row>
    <row r="96" spans="2:3" hidden="1" x14ac:dyDescent="0.35">
      <c r="B96" s="24" t="str">
        <f>+'PUBLICO COMPLETO'!A337</f>
        <v xml:space="preserve">     Tiquete Coordinador de calidad</v>
      </c>
      <c r="C96" s="216">
        <f>+'PUBLICO COMPLETO'!O337</f>
        <v>261000</v>
      </c>
    </row>
    <row r="97" spans="2:3" hidden="1" x14ac:dyDescent="0.35">
      <c r="B97" s="24" t="str">
        <f>+'PUBLICO COMPLETO'!A338</f>
        <v xml:space="preserve">     Tiquetes GES Turismo</v>
      </c>
      <c r="C97" s="216">
        <f>+'PUBLICO COMPLETO'!O338</f>
        <v>1800000</v>
      </c>
    </row>
    <row r="98" spans="2:3" hidden="1" x14ac:dyDescent="0.35">
      <c r="B98" s="24" t="str">
        <f>+'PUBLICO COMPLETO'!A339</f>
        <v xml:space="preserve">     Tiquetes Competitividad</v>
      </c>
      <c r="C98" s="216">
        <f>+'PUBLICO COMPLETO'!O339</f>
        <v>552000</v>
      </c>
    </row>
    <row r="99" spans="2:3" hidden="1" x14ac:dyDescent="0.35">
      <c r="B99" s="24" t="str">
        <f>+'PUBLICO COMPLETO'!A343</f>
        <v xml:space="preserve">     Tiquetes Coord. Comunicaciones</v>
      </c>
      <c r="C99" s="216">
        <f>+'PUBLICO COMPLETO'!O343</f>
        <v>1440000</v>
      </c>
    </row>
    <row r="100" spans="2:3" ht="9" hidden="1" customHeight="1" x14ac:dyDescent="0.35">
      <c r="B100" s="24"/>
      <c r="C100" s="216"/>
    </row>
    <row r="101" spans="2:3" x14ac:dyDescent="0.35">
      <c r="B101" s="24" t="s">
        <v>228</v>
      </c>
      <c r="C101" s="216">
        <f>+'PUBLICO COMPLETO'!O344</f>
        <v>1582000</v>
      </c>
    </row>
    <row r="102" spans="2:3" hidden="1" x14ac:dyDescent="0.35">
      <c r="B102" s="24" t="e">
        <f>+'PUBLICO COMPLETO'!#REF!</f>
        <v>#REF!</v>
      </c>
      <c r="C102" s="216" t="e">
        <f>+'PUBLICO COMPLETO'!#REF!</f>
        <v>#REF!</v>
      </c>
    </row>
    <row r="103" spans="2:3" hidden="1" x14ac:dyDescent="0.35">
      <c r="B103" s="24" t="str">
        <f>+'PUBLICO COMPLETO'!A345</f>
        <v xml:space="preserve">     Transporte meseros y equipos reconocimiento</v>
      </c>
      <c r="C103" s="216">
        <f>+'PUBLICO COMPLETO'!O345</f>
        <v>42000</v>
      </c>
    </row>
    <row r="104" spans="2:3" hidden="1" x14ac:dyDescent="0.35">
      <c r="B104" s="24" t="str">
        <f>+'PUBLICO COMPLETO'!A346</f>
        <v xml:space="preserve">     Transporte Administrativo</v>
      </c>
      <c r="C104" s="216">
        <f>+'PUBLICO COMPLETO'!O346</f>
        <v>1044000</v>
      </c>
    </row>
    <row r="105" spans="2:3" hidden="1" x14ac:dyDescent="0.35">
      <c r="B105" s="24" t="str">
        <f>+'PUBLICO COMPLETO'!A347</f>
        <v xml:space="preserve">     Transporte auditor Icontec-Auditoría seguimiento y ampliación</v>
      </c>
      <c r="C105" s="216">
        <f>+'PUBLICO COMPLETO'!O347</f>
        <v>496000</v>
      </c>
    </row>
    <row r="106" spans="2:3" ht="9" hidden="1" customHeight="1" x14ac:dyDescent="0.35">
      <c r="B106" s="24"/>
      <c r="C106" s="216"/>
    </row>
    <row r="107" spans="2:3" x14ac:dyDescent="0.35">
      <c r="B107" s="24" t="str">
        <f>+'PUBLICO COMPLETO'!A348</f>
        <v>Viáticos</v>
      </c>
      <c r="C107" s="216">
        <f>+'PUBLICO COMPLETO'!O348</f>
        <v>49985000</v>
      </c>
    </row>
    <row r="108" spans="2:3" hidden="1" x14ac:dyDescent="0.35">
      <c r="B108" t="str">
        <f>+'PUBLICO COMPLETO'!A349</f>
        <v xml:space="preserve">       Viáticos jornadas de registro</v>
      </c>
      <c r="C108" s="216">
        <f>+'PUBLICO COMPLETO'!O349</f>
        <v>4664000</v>
      </c>
    </row>
    <row r="109" spans="2:3" hidden="1" x14ac:dyDescent="0.35">
      <c r="B109" t="e">
        <f>+'PUBLICO COMPLETO'!#REF!</f>
        <v>#REF!</v>
      </c>
      <c r="C109" s="216" t="e">
        <f>+'PUBLICO COMPLETO'!#REF!</f>
        <v>#REF!</v>
      </c>
    </row>
    <row r="110" spans="2:3" hidden="1" x14ac:dyDescent="0.35">
      <c r="B110" t="e">
        <f>+'PUBLICO COMPLETO'!#REF!</f>
        <v>#REF!</v>
      </c>
      <c r="C110" s="216" t="e">
        <f>+'PUBLICO COMPLETO'!#REF!</f>
        <v>#REF!</v>
      </c>
    </row>
    <row r="111" spans="2:3" hidden="1" x14ac:dyDescent="0.35">
      <c r="B111" t="e">
        <f>+'PUBLICO COMPLETO'!#REF!</f>
        <v>#REF!</v>
      </c>
      <c r="C111" s="216" t="e">
        <f>+'PUBLICO COMPLETO'!#REF!</f>
        <v>#REF!</v>
      </c>
    </row>
    <row r="112" spans="2:3" hidden="1" x14ac:dyDescent="0.35">
      <c r="B112" t="e">
        <f>+'PUBLICO COMPLETO'!#REF!</f>
        <v>#REF!</v>
      </c>
      <c r="C112" s="216" t="e">
        <f>+'PUBLICO COMPLETO'!#REF!</f>
        <v>#REF!</v>
      </c>
    </row>
    <row r="113" spans="2:3" hidden="1" x14ac:dyDescent="0.35">
      <c r="B113" t="str">
        <f>+'PUBLICO COMPLETO'!A350</f>
        <v xml:space="preserve">       Viáticos Registro público </v>
      </c>
      <c r="C113" s="216">
        <f>+'PUBLICO COMPLETO'!O350</f>
        <v>12588000</v>
      </c>
    </row>
    <row r="114" spans="2:3" hidden="1" x14ac:dyDescent="0.35">
      <c r="B114" t="str">
        <f>+'PUBLICO COMPLETO'!A351</f>
        <v xml:space="preserve">       Viáticos Competitividad</v>
      </c>
      <c r="C114" s="216">
        <f>+'PUBLICO COMPLETO'!O351</f>
        <v>2010000</v>
      </c>
    </row>
    <row r="115" spans="2:3" hidden="1" x14ac:dyDescent="0.35">
      <c r="B115" t="str">
        <f>+'PUBLICO COMPLETO'!A352</f>
        <v xml:space="preserve">       Viáticos Comité Dir Administrativos</v>
      </c>
      <c r="C115" s="216">
        <f>+'PUBLICO COMPLETO'!O352</f>
        <v>800000</v>
      </c>
    </row>
    <row r="116" spans="2:3" hidden="1" x14ac:dyDescent="0.35">
      <c r="B116" t="str">
        <f>+'PUBLICO COMPLETO'!A353</f>
        <v xml:space="preserve">       Viáticos área administriva</v>
      </c>
      <c r="C116" s="216">
        <f>+'PUBLICO COMPLETO'!O353</f>
        <v>5100000</v>
      </c>
    </row>
    <row r="117" spans="2:3" hidden="1" x14ac:dyDescent="0.35">
      <c r="B117" t="e">
        <f>+'PUBLICO COMPLETO'!#REF!</f>
        <v>#REF!</v>
      </c>
      <c r="C117" s="216" t="e">
        <f>+'PUBLICO COMPLETO'!#REF!</f>
        <v>#REF!</v>
      </c>
    </row>
    <row r="118" spans="2:3" hidden="1" x14ac:dyDescent="0.35">
      <c r="B118" t="str">
        <f>+'PUBLICO COMPLETO'!A354</f>
        <v xml:space="preserve">       Viáticos Presidencia</v>
      </c>
      <c r="C118" s="216">
        <f>+'PUBLICO COMPLETO'!O354</f>
        <v>12540000</v>
      </c>
    </row>
    <row r="119" spans="2:3" hidden="1" x14ac:dyDescent="0.35">
      <c r="B119" t="str">
        <f>+'PUBLICO COMPLETO'!A355</f>
        <v xml:space="preserve">       Viáticos Asamblea Confecámaras</v>
      </c>
      <c r="C119" s="216">
        <f>+'PUBLICO COMPLETO'!O355</f>
        <v>5361000</v>
      </c>
    </row>
    <row r="120" spans="2:3" hidden="1" x14ac:dyDescent="0.35">
      <c r="B120" t="str">
        <f>+'PUBLICO COMPLETO'!A357</f>
        <v xml:space="preserve">       Viaticos Control interno</v>
      </c>
      <c r="C120" s="216">
        <f>+'PUBLICO COMPLETO'!O357</f>
        <v>780000</v>
      </c>
    </row>
    <row r="121" spans="2:3" hidden="1" x14ac:dyDescent="0.35">
      <c r="B121" t="e">
        <f>+'PUBLICO COMPLETO'!#REF!</f>
        <v>#REF!</v>
      </c>
      <c r="C121" s="216" t="e">
        <f>+'PUBLICO COMPLETO'!#REF!</f>
        <v>#REF!</v>
      </c>
    </row>
    <row r="122" spans="2:3" hidden="1" x14ac:dyDescent="0.35">
      <c r="B122" t="str">
        <f>+'PUBLICO COMPLETO'!A358</f>
        <v xml:space="preserve">       Viáticos GES Turismo</v>
      </c>
      <c r="C122" s="216">
        <f>+'PUBLICO COMPLETO'!O358</f>
        <v>1680000</v>
      </c>
    </row>
    <row r="123" spans="2:3" hidden="1" x14ac:dyDescent="0.35">
      <c r="B123" t="str">
        <f>+'PUBLICO COMPLETO'!A360</f>
        <v xml:space="preserve">       Viaticos formalizacion</v>
      </c>
      <c r="C123" s="216">
        <f>+'PUBLICO COMPLETO'!O360</f>
        <v>2200000</v>
      </c>
    </row>
    <row r="124" spans="2:3" hidden="1" x14ac:dyDescent="0.35">
      <c r="B124" t="str">
        <f>+'PUBLICO COMPLETO'!A362</f>
        <v xml:space="preserve">       Viáticos Reconocimiento empresarios</v>
      </c>
      <c r="C124" s="216">
        <f>+'PUBLICO COMPLETO'!O362</f>
        <v>674000</v>
      </c>
    </row>
    <row r="127" spans="2:3" x14ac:dyDescent="0.35">
      <c r="B127" s="134" t="s">
        <v>497</v>
      </c>
      <c r="C127" s="135">
        <f>+C129+C146</f>
        <v>126541823.43569066</v>
      </c>
    </row>
    <row r="129" spans="2:3" x14ac:dyDescent="0.35">
      <c r="B129" s="219" t="s">
        <v>388</v>
      </c>
      <c r="C129" s="220">
        <f>+C130+C131+C141+C145+C142+C143+C144</f>
        <v>114136823.43569066</v>
      </c>
    </row>
    <row r="130" spans="2:3" x14ac:dyDescent="0.35">
      <c r="B130" s="217" t="s">
        <v>117</v>
      </c>
      <c r="C130" s="216">
        <f>+'PUBLICO COMPLETO'!O136</f>
        <v>27608823.435690656</v>
      </c>
    </row>
    <row r="131" spans="2:3" x14ac:dyDescent="0.35">
      <c r="B131" s="217" t="s">
        <v>118</v>
      </c>
      <c r="C131" s="216">
        <f>+SUM(C132:C139)</f>
        <v>56728000</v>
      </c>
    </row>
    <row r="132" spans="2:3" x14ac:dyDescent="0.35">
      <c r="B132" s="217" t="s">
        <v>498</v>
      </c>
      <c r="C132" s="216">
        <f>+'PUBLICO COMPLETO'!O138</f>
        <v>3668000</v>
      </c>
    </row>
    <row r="133" spans="2:3" x14ac:dyDescent="0.35">
      <c r="B133" s="217" t="s">
        <v>213</v>
      </c>
      <c r="C133" s="216">
        <f>+'PUBLICO COMPLETO'!O139</f>
        <v>26508000</v>
      </c>
    </row>
    <row r="134" spans="2:3" x14ac:dyDescent="0.35">
      <c r="B134" s="217" t="s">
        <v>426</v>
      </c>
      <c r="C134" s="216">
        <f>+'PUBLICO COMPLETO'!O140</f>
        <v>6781000</v>
      </c>
    </row>
    <row r="135" spans="2:3" x14ac:dyDescent="0.35">
      <c r="B135" s="217" t="s">
        <v>214</v>
      </c>
      <c r="C135" s="216">
        <f>+'PUBLICO COMPLETO'!O141</f>
        <v>0</v>
      </c>
    </row>
    <row r="136" spans="2:3" ht="17.25" customHeight="1" x14ac:dyDescent="0.35">
      <c r="B136" s="217" t="s">
        <v>425</v>
      </c>
      <c r="C136" s="216">
        <f>+'PUBLICO COMPLETO'!O142</f>
        <v>17800000</v>
      </c>
    </row>
    <row r="137" spans="2:3" x14ac:dyDescent="0.35">
      <c r="B137" s="217" t="s">
        <v>427</v>
      </c>
      <c r="C137" s="216">
        <f>+'PUBLICO COMPLETO'!O143</f>
        <v>1415000</v>
      </c>
    </row>
    <row r="138" spans="2:3" x14ac:dyDescent="0.35">
      <c r="B138" s="217" t="s">
        <v>215</v>
      </c>
      <c r="C138" s="216">
        <f>+'PUBLICO COMPLETO'!O144</f>
        <v>229000</v>
      </c>
    </row>
    <row r="139" spans="2:3" x14ac:dyDescent="0.35">
      <c r="B139" s="217" t="s">
        <v>499</v>
      </c>
      <c r="C139" s="216">
        <f>+'PUBLICO COMPLETO'!O145</f>
        <v>327000</v>
      </c>
    </row>
    <row r="140" spans="2:3" ht="14.25" customHeight="1" x14ac:dyDescent="0.35">
      <c r="B140" s="218" t="s">
        <v>367</v>
      </c>
      <c r="C140" s="216">
        <f>+'PUBLICO COMPLETO'!O146</f>
        <v>0</v>
      </c>
    </row>
    <row r="141" spans="2:3" x14ac:dyDescent="0.35">
      <c r="B141" s="218" t="s">
        <v>368</v>
      </c>
      <c r="C141" s="216">
        <f>+'PUBLICO COMPLETO'!O147</f>
        <v>2583000</v>
      </c>
    </row>
    <row r="142" spans="2:3" x14ac:dyDescent="0.35">
      <c r="B142" s="218" t="s">
        <v>777</v>
      </c>
      <c r="C142" s="216">
        <f>+'PUBLICO COMPLETO'!O148</f>
        <v>3200000</v>
      </c>
    </row>
    <row r="143" spans="2:3" x14ac:dyDescent="0.35">
      <c r="B143" s="218" t="s">
        <v>784</v>
      </c>
      <c r="C143" s="216">
        <f>+'PUBLICO COMPLETO'!O149</f>
        <v>15000000</v>
      </c>
    </row>
    <row r="144" spans="2:3" x14ac:dyDescent="0.35">
      <c r="B144" s="218" t="s">
        <v>779</v>
      </c>
      <c r="C144" s="216">
        <f>+'PUBLICO COMPLETO'!O150</f>
        <v>2400000</v>
      </c>
    </row>
    <row r="145" spans="2:3" x14ac:dyDescent="0.35">
      <c r="B145" s="218" t="s">
        <v>464</v>
      </c>
      <c r="C145" s="216">
        <f>+'PUBLICO COMPLETO'!O151</f>
        <v>6617000</v>
      </c>
    </row>
    <row r="146" spans="2:3" x14ac:dyDescent="0.35">
      <c r="B146" s="219" t="s">
        <v>138</v>
      </c>
      <c r="C146" s="220">
        <f>+SUM(C147:C149)</f>
        <v>12405000</v>
      </c>
    </row>
    <row r="147" spans="2:3" x14ac:dyDescent="0.35">
      <c r="B147" s="217" t="s">
        <v>369</v>
      </c>
      <c r="C147" s="216">
        <f>+'PUBLICO COMPLETO'!O153</f>
        <v>8172000</v>
      </c>
    </row>
    <row r="148" spans="2:3" x14ac:dyDescent="0.35">
      <c r="B148" s="217" t="s">
        <v>424</v>
      </c>
      <c r="C148" s="216">
        <f>+'PUBLICO COMPLETO'!O154</f>
        <v>3660000</v>
      </c>
    </row>
    <row r="149" spans="2:3" x14ac:dyDescent="0.35">
      <c r="B149" s="217" t="s">
        <v>370</v>
      </c>
      <c r="C149" s="216">
        <f>+'PUBLICO COMPLETO'!O155</f>
        <v>573000</v>
      </c>
    </row>
    <row r="152" spans="2:3" x14ac:dyDescent="0.35">
      <c r="B152" s="134" t="s">
        <v>322</v>
      </c>
      <c r="C152" s="135">
        <f>+SUM(C154:C158)</f>
        <v>32435000</v>
      </c>
    </row>
    <row r="154" spans="2:3" x14ac:dyDescent="0.35">
      <c r="B154" s="132" t="str">
        <f>+'CTAS MAYORES PRIVADO PRIVADO'!A58</f>
        <v>Capacitaciones alto nivel</v>
      </c>
      <c r="C154" s="136">
        <f>+'CTAS MAYORES PRIVADO PRIVADO'!B58</f>
        <v>20384000</v>
      </c>
    </row>
    <row r="155" spans="2:3" x14ac:dyDescent="0.35">
      <c r="B155" s="132" t="str">
        <f>+'CTAS MAYORES PRIVADO PRIVADO'!A59</f>
        <v>Tertuliando en la Cámara</v>
      </c>
      <c r="C155" s="136">
        <f>+'CTAS MAYORES PRIVADO PRIVADO'!B59</f>
        <v>11000000</v>
      </c>
    </row>
    <row r="156" spans="2:3" x14ac:dyDescent="0.35">
      <c r="B156" s="132" t="str">
        <f>+'CTAS MAYORES PRIVADO PRIVADO'!A60</f>
        <v>Compite 360</v>
      </c>
      <c r="C156" s="136">
        <f>+'CTAS MAYORES PRIVADO PRIVADO'!B60</f>
        <v>1051000</v>
      </c>
    </row>
    <row r="157" spans="2:3" x14ac:dyDescent="0.35">
      <c r="B157" s="132" t="str">
        <f>+'CTAS MAYORES PRIVADO PRIVADO'!A61</f>
        <v>Honorarios conciliación</v>
      </c>
      <c r="C157" s="136">
        <f>+'CTAS MAYORES PRIVADO PRIVADO'!B61</f>
        <v>0</v>
      </c>
    </row>
    <row r="159" spans="2:3" x14ac:dyDescent="0.35">
      <c r="B159" s="134" t="s">
        <v>323</v>
      </c>
      <c r="C159" s="135">
        <f>+SUM(C161:C168)</f>
        <v>54993000</v>
      </c>
    </row>
    <row r="161" spans="2:3" x14ac:dyDescent="0.35">
      <c r="B161" s="132" t="str">
        <f>+'CTAS MAYORES PRIVADO PRIVADO'!A87</f>
        <v>Aseo y vigilancia</v>
      </c>
      <c r="C161" s="136">
        <f>+'CTAS MAYORES PRIVADO PRIVADO'!B87</f>
        <v>14459000</v>
      </c>
    </row>
    <row r="162" spans="2:3" hidden="1" x14ac:dyDescent="0.35">
      <c r="B162" s="132" t="str">
        <f>+'CTAS MAYORES PRIVADO PRIVADO'!A88</f>
        <v>Temporales</v>
      </c>
      <c r="C162" s="136">
        <f>+'CTAS MAYORES PRIVADO PRIVADO'!B88</f>
        <v>1250000</v>
      </c>
    </row>
    <row r="163" spans="2:3" x14ac:dyDescent="0.35">
      <c r="B163" s="132" t="str">
        <f>+'CTAS MAYORES PRIVADO PRIVADO'!A89</f>
        <v>Acueducto y Alcantarillado</v>
      </c>
      <c r="C163" s="136">
        <f>+'CTAS MAYORES PRIVADO PRIVADO'!B89</f>
        <v>288000</v>
      </c>
    </row>
    <row r="164" spans="2:3" x14ac:dyDescent="0.35">
      <c r="B164" s="132" t="str">
        <f>+'CTAS MAYORES PRIVADO PRIVADO'!A90</f>
        <v>Energía Eléctrica</v>
      </c>
      <c r="C164" s="136">
        <f>+'CTAS MAYORES PRIVADO PRIVADO'!B90</f>
        <v>6360000</v>
      </c>
    </row>
    <row r="165" spans="2:3" hidden="1" x14ac:dyDescent="0.35">
      <c r="B165" s="132" t="str">
        <f>+'CTAS MAYORES PRIVADO PRIVADO'!A91</f>
        <v>Teléfono</v>
      </c>
      <c r="C165" s="136">
        <f>+'CTAS MAYORES PRIVADO PRIVADO'!B91</f>
        <v>0</v>
      </c>
    </row>
    <row r="166" spans="2:3" x14ac:dyDescent="0.35">
      <c r="B166" s="132" t="str">
        <f>+'CTAS MAYORES PRIVADO PRIVADO'!A92</f>
        <v>Correo, Portes y Telegramas</v>
      </c>
      <c r="C166" s="136">
        <f>+'CTAS MAYORES PRIVADO PRIVADO'!B92</f>
        <v>3542000</v>
      </c>
    </row>
    <row r="167" spans="2:3" x14ac:dyDescent="0.35">
      <c r="B167" s="132" t="str">
        <f>+'CTAS MAYORES PRIVADO PRIVADO'!A93</f>
        <v>Trabajos litográficos</v>
      </c>
      <c r="C167" s="136">
        <f>+'CTAS MAYORES PRIVADO PRIVADO'!B93</f>
        <v>25626000</v>
      </c>
    </row>
    <row r="168" spans="2:3" x14ac:dyDescent="0.35">
      <c r="B168" s="132" t="s">
        <v>220</v>
      </c>
      <c r="C168" s="136">
        <f>+'CTAS MAYORES PRIVADO PRIVADO'!B94</f>
        <v>3468000</v>
      </c>
    </row>
    <row r="169" spans="2:3" x14ac:dyDescent="0.35">
      <c r="C169" s="136"/>
    </row>
    <row r="170" spans="2:3" x14ac:dyDescent="0.35">
      <c r="B170" s="134" t="s">
        <v>324</v>
      </c>
      <c r="C170" s="135">
        <f>+SUM(C172:C179)</f>
        <v>60590000</v>
      </c>
    </row>
    <row r="171" spans="2:3" ht="11.25" customHeight="1" x14ac:dyDescent="0.35"/>
    <row r="172" spans="2:3" hidden="1" x14ac:dyDescent="0.35">
      <c r="B172" s="132" t="str">
        <f>+'CTAS MAYORES PRIVADO PRIVADO'!A115</f>
        <v>Libros, suscripciones</v>
      </c>
      <c r="C172" s="136">
        <f>+'CTAS MAYORES PRIVADO PRIVADO'!B115</f>
        <v>0</v>
      </c>
    </row>
    <row r="173" spans="2:3" x14ac:dyDescent="0.35">
      <c r="B173" s="132" t="str">
        <f>+'CTAS MAYORES PRIVADO PRIVADO'!A116</f>
        <v>Elementos de Aseo y Cafetería</v>
      </c>
      <c r="C173" s="136">
        <f>+'CTAS MAYORES PRIVADO PRIVADO'!B116</f>
        <v>1248000</v>
      </c>
    </row>
    <row r="174" spans="2:3" x14ac:dyDescent="0.35">
      <c r="B174" s="132" t="str">
        <f>+'CTAS MAYORES PRIVADO PRIVADO'!A117</f>
        <v>Utiles, Papelería y Fotocopias</v>
      </c>
      <c r="C174" s="136">
        <f>+'CTAS MAYORES PRIVADO PRIVADO'!B117</f>
        <v>783000</v>
      </c>
    </row>
    <row r="175" spans="2:3" x14ac:dyDescent="0.35">
      <c r="B175" s="132" t="str">
        <f>+'CTAS MAYORES PRIVADO PRIVADO'!A118</f>
        <v>Combustibles y Lubricantes</v>
      </c>
      <c r="C175" s="136">
        <f>+'CTAS MAYORES PRIVADO PRIVADO'!B118</f>
        <v>104000</v>
      </c>
    </row>
    <row r="176" spans="2:3" x14ac:dyDescent="0.35">
      <c r="B176" s="132" t="str">
        <f>+'CTAS MAYORES PRIVADO PRIVADO'!A119</f>
        <v>Buses y taxis</v>
      </c>
      <c r="C176" s="136">
        <f>+'CTAS MAYORES PRIVADO PRIVADO'!B119</f>
        <v>324000</v>
      </c>
    </row>
    <row r="177" spans="2:3" x14ac:dyDescent="0.35">
      <c r="B177" s="132" t="str">
        <f>+'CTAS MAYORES PRIVADO PRIVADO'!A120</f>
        <v>Casinos y Restaurante</v>
      </c>
      <c r="C177" s="136">
        <f>+'CTAS MAYORES PRIVADO PRIVADO'!B120</f>
        <v>24038000</v>
      </c>
    </row>
    <row r="178" spans="2:3" x14ac:dyDescent="0.35">
      <c r="B178" s="132" t="str">
        <f>+'CTAS MAYORES PRIVADO PRIVADO'!A121</f>
        <v>Parqueaderos</v>
      </c>
      <c r="C178" s="136">
        <f>+'CTAS MAYORES PRIVADO PRIVADO'!B121</f>
        <v>18000</v>
      </c>
    </row>
    <row r="179" spans="2:3" x14ac:dyDescent="0.35">
      <c r="B179" s="139" t="str">
        <f>+'CTAS MAYORES PRIVADO PRIVADO'!A122</f>
        <v>Otros</v>
      </c>
      <c r="C179" s="135">
        <f>+'CTAS MAYORES PRIVADO PRIVADO'!B122</f>
        <v>34075000</v>
      </c>
    </row>
    <row r="180" spans="2:3" x14ac:dyDescent="0.35">
      <c r="B180" s="132" t="s">
        <v>565</v>
      </c>
      <c r="C180" s="136">
        <f>+'PRIVADO COMPLETO'!O215</f>
        <v>4260000</v>
      </c>
    </row>
    <row r="181" spans="2:3" x14ac:dyDescent="0.35">
      <c r="B181" s="132" t="str">
        <f>+'PRIVADO COMPLETO'!A216</f>
        <v>Flores varias-decoración oficinas</v>
      </c>
      <c r="C181" s="136">
        <f>+'PRIVADO COMPLETO'!O216</f>
        <v>984000</v>
      </c>
    </row>
    <row r="182" spans="2:3" x14ac:dyDescent="0.35">
      <c r="B182" s="132" t="str">
        <f>+'PRIVADO COMPLETO'!A217</f>
        <v>Actividades de Bienestar laboral</v>
      </c>
      <c r="C182" s="136">
        <f>+'PRIVADO COMPLETO'!O217+'PRIVADO COMPLETO'!O218+'PRIVADO COMPLETO'!O220</f>
        <v>10110000</v>
      </c>
    </row>
    <row r="183" spans="2:3" x14ac:dyDescent="0.35">
      <c r="B183" s="132" t="str">
        <f>+'PRIVADO COMPLETO'!A219</f>
        <v>Elementos auditorios</v>
      </c>
      <c r="C183" s="136">
        <f>+'PRIVADO COMPLETO'!O219</f>
        <v>420000</v>
      </c>
    </row>
    <row r="184" spans="2:3" x14ac:dyDescent="0.35">
      <c r="B184" s="132" t="str">
        <f>+'PRIVADO COMPLETO'!A221</f>
        <v>Feria Universitaria buses</v>
      </c>
      <c r="C184" s="136">
        <f>+'PRIVADO COMPLETO'!O221</f>
        <v>656000</v>
      </c>
    </row>
    <row r="185" spans="2:3" x14ac:dyDescent="0.35">
      <c r="B185" s="132" t="str">
        <f>+'PRIVADO COMPLETO'!A222</f>
        <v>Apoyos</v>
      </c>
      <c r="C185" s="136">
        <f>+'PRIVADO COMPLETO'!O222</f>
        <v>2976000</v>
      </c>
    </row>
    <row r="186" spans="2:3" x14ac:dyDescent="0.35">
      <c r="B186" s="132" t="str">
        <f>+'PRIVADO COMPLETO'!A223</f>
        <v>Participación Feria Exponegocios</v>
      </c>
      <c r="C186" s="136">
        <f>+'PRIVADO COMPLETO'!O223</f>
        <v>469000</v>
      </c>
    </row>
    <row r="187" spans="2:3" hidden="1" x14ac:dyDescent="0.35">
      <c r="B187" s="132" t="str">
        <f>+'PRIVADO COMPLETO'!A224</f>
        <v>Pago cuota club años anteriores</v>
      </c>
      <c r="C187" s="136">
        <f>+'PRIVADO COMPLETO'!O224</f>
        <v>0</v>
      </c>
    </row>
    <row r="188" spans="2:3" hidden="1" x14ac:dyDescent="0.35">
      <c r="B188" s="132" t="str">
        <f>+'PRIVADO COMPLETO'!A225</f>
        <v>Regalo de afiliados y registros</v>
      </c>
      <c r="C188" s="136">
        <f>+'PRIVADO COMPLETO'!O225</f>
        <v>7700000</v>
      </c>
    </row>
    <row r="189" spans="2:3" hidden="1" x14ac:dyDescent="0.35">
      <c r="B189" s="132" t="str">
        <f>+'PRIVADO COMPLETO'!A226</f>
        <v>Regalo conciliadores</v>
      </c>
      <c r="C189" s="136">
        <f>+'PRIVADO COMPLETO'!O226</f>
        <v>0</v>
      </c>
    </row>
    <row r="190" spans="2:3" x14ac:dyDescent="0.35">
      <c r="B190" s="132" t="str">
        <f>+'PRIVADO COMPLETO'!A227</f>
        <v>Obsequios cumpleaños Junta Directiva</v>
      </c>
      <c r="C190" s="136">
        <f>+'PRIVADO COMPLETO'!O227</f>
        <v>6500000</v>
      </c>
    </row>
    <row r="191" spans="2:3" x14ac:dyDescent="0.35">
      <c r="B191" s="132"/>
      <c r="C191" s="136"/>
    </row>
    <row r="193" spans="2:6" x14ac:dyDescent="0.35">
      <c r="B193" s="134" t="s">
        <v>325</v>
      </c>
      <c r="C193" s="135">
        <f>+SUM(C196:C202)+C205+C206+C207</f>
        <v>18488000</v>
      </c>
      <c r="D193" s="423" t="s">
        <v>327</v>
      </c>
      <c r="E193" s="423"/>
      <c r="F193" s="423"/>
    </row>
    <row r="194" spans="2:6" ht="9" customHeight="1" x14ac:dyDescent="0.35">
      <c r="D194" s="137" t="s">
        <v>328</v>
      </c>
      <c r="E194" s="137" t="s">
        <v>329</v>
      </c>
      <c r="F194" s="137" t="s">
        <v>330</v>
      </c>
    </row>
    <row r="195" spans="2:6" ht="6" customHeight="1" x14ac:dyDescent="0.35">
      <c r="D195" s="137"/>
      <c r="E195" s="137"/>
      <c r="F195" s="137"/>
    </row>
    <row r="196" spans="2:6" x14ac:dyDescent="0.35">
      <c r="B196" s="132" t="str">
        <f>+'PUBLICO COMPLETO'!A157</f>
        <v>Manejo</v>
      </c>
      <c r="C196" s="136">
        <f>+'PUBLICO COMPLETO'!O157</f>
        <v>841000</v>
      </c>
      <c r="D196" s="136">
        <v>3000000</v>
      </c>
      <c r="E196" s="136"/>
      <c r="F196" s="136"/>
    </row>
    <row r="197" spans="2:6" x14ac:dyDescent="0.35">
      <c r="B197" s="132" t="str">
        <f>+'PUBLICO COMPLETO'!A159</f>
        <v>Corriente Débil</v>
      </c>
      <c r="C197" s="136">
        <f>+'PUBLICO COMPLETO'!O159</f>
        <v>42000</v>
      </c>
      <c r="D197" s="136">
        <v>301895980</v>
      </c>
      <c r="E197" s="136">
        <v>10771363</v>
      </c>
      <c r="F197" s="136">
        <v>8610687</v>
      </c>
    </row>
    <row r="198" spans="2:6" x14ac:dyDescent="0.35">
      <c r="B198" s="132" t="s">
        <v>331</v>
      </c>
      <c r="C198" s="136"/>
      <c r="D198" s="136">
        <v>11661359</v>
      </c>
      <c r="E198" s="136"/>
      <c r="F198" s="136"/>
    </row>
    <row r="199" spans="2:6" x14ac:dyDescent="0.35">
      <c r="B199" s="132" t="str">
        <f>+'PUBLICO COMPLETO'!A160</f>
        <v>Incendio</v>
      </c>
      <c r="C199" s="136">
        <f>+'PUBLICO COMPLETO'!O160</f>
        <v>1282000</v>
      </c>
      <c r="D199" s="422">
        <v>2303262</v>
      </c>
      <c r="E199" s="136"/>
      <c r="F199" s="136"/>
    </row>
    <row r="200" spans="2:6" x14ac:dyDescent="0.35">
      <c r="B200" s="132" t="str">
        <f>+'PUBLICO COMPLETO'!A161</f>
        <v>Terremoto</v>
      </c>
      <c r="C200" s="136">
        <f>+'PUBLICO COMPLETO'!O161</f>
        <v>1912000</v>
      </c>
      <c r="D200" s="422"/>
      <c r="E200" s="136"/>
      <c r="F200" s="136"/>
    </row>
    <row r="201" spans="2:6" x14ac:dyDescent="0.35">
      <c r="B201" s="132" t="str">
        <f>+'PUBLICO COMPLETO'!A162</f>
        <v>Sustracción y Hurto</v>
      </c>
      <c r="C201" s="136">
        <f>+'PUBLICO COMPLETO'!O162</f>
        <v>35000</v>
      </c>
      <c r="D201" s="136">
        <v>419517498</v>
      </c>
      <c r="E201" s="136">
        <v>10771363</v>
      </c>
      <c r="F201" s="136">
        <v>5000000</v>
      </c>
    </row>
    <row r="202" spans="2:6" x14ac:dyDescent="0.35">
      <c r="B202" s="132" t="s">
        <v>326</v>
      </c>
      <c r="C202" s="136">
        <f>+'PUBLICO COMPLETO'!O166</f>
        <v>4975000</v>
      </c>
      <c r="D202" s="136"/>
      <c r="E202" s="136"/>
      <c r="F202" s="136"/>
    </row>
    <row r="203" spans="2:6" x14ac:dyDescent="0.35">
      <c r="B203" s="81" t="str">
        <f>+'PUBLICO COMPLETO'!A167</f>
        <v xml:space="preserve">       Resp.Civil Cámara</v>
      </c>
      <c r="C203" s="133">
        <f>+'PUBLICO COMPLETO'!O167</f>
        <v>500000</v>
      </c>
      <c r="D203" s="133">
        <v>200000000</v>
      </c>
    </row>
    <row r="204" spans="2:6" x14ac:dyDescent="0.35">
      <c r="B204" s="132" t="str">
        <f>+'PUBLICO COMPLETO'!A168</f>
        <v xml:space="preserve">       Resp.Civil Confecámaras</v>
      </c>
      <c r="C204" s="133">
        <f>+'PUBLICO COMPLETO'!O168</f>
        <v>4475000</v>
      </c>
      <c r="D204" s="133">
        <v>6000000000</v>
      </c>
    </row>
    <row r="205" spans="2:6" x14ac:dyDescent="0.35">
      <c r="B205" s="132" t="str">
        <f>+'PUBLICO COMPLETO'!A163</f>
        <v>Transporte valores</v>
      </c>
      <c r="C205" s="136">
        <f>+'PUBLICO COMPLETO'!O163</f>
        <v>6228000</v>
      </c>
      <c r="D205" s="133"/>
    </row>
    <row r="206" spans="2:6" x14ac:dyDescent="0.35">
      <c r="B206" s="132" t="str">
        <f>+'PUBLICO COMPLETO'!A164</f>
        <v>Poliza del Vehiculo de Cámara</v>
      </c>
      <c r="C206" s="136">
        <f>+'PUBLICO COMPLETO'!O164</f>
        <v>2999000</v>
      </c>
      <c r="D206" s="136">
        <v>7000000</v>
      </c>
      <c r="E206" s="136"/>
      <c r="F206" s="136"/>
    </row>
    <row r="207" spans="2:6" x14ac:dyDescent="0.35">
      <c r="B207" s="132" t="str">
        <f>+'PUBLICO COMPLETO'!A165</f>
        <v>Actos mal intencionados de terceros</v>
      </c>
      <c r="C207" s="136">
        <f>+'PUBLICO COMPLETO'!O165</f>
        <v>174000</v>
      </c>
      <c r="D207" s="136">
        <v>15000000</v>
      </c>
      <c r="E207" s="136"/>
      <c r="F207" s="136"/>
    </row>
    <row r="209" spans="2:10" x14ac:dyDescent="0.35">
      <c r="B209" s="134" t="s">
        <v>501</v>
      </c>
      <c r="C209" s="135">
        <f>+C211</f>
        <v>30317000</v>
      </c>
    </row>
    <row r="211" spans="2:10" x14ac:dyDescent="0.35">
      <c r="B211" s="132" t="str">
        <f>+'PRIVADO COMPLETO'!A229</f>
        <v>FINANCIEROS</v>
      </c>
      <c r="C211" s="136">
        <f>+SUM(C212:C215)</f>
        <v>30317000</v>
      </c>
    </row>
    <row r="212" spans="2:10" x14ac:dyDescent="0.35">
      <c r="B212" s="132" t="str">
        <f>+'PRIVADO COMPLETO'!A230</f>
        <v>Gravamen 4 x 1000</v>
      </c>
      <c r="C212" s="136">
        <f>+'PRIVADO COMPLETO'!O230</f>
        <v>2460000</v>
      </c>
    </row>
    <row r="213" spans="2:10" x14ac:dyDescent="0.35">
      <c r="B213" s="132" t="str">
        <f>+'PRIVADO COMPLETO'!A231</f>
        <v>Chequeras</v>
      </c>
      <c r="C213" s="136">
        <f>+'PRIVADO COMPLETO'!O231</f>
        <v>0</v>
      </c>
    </row>
    <row r="214" spans="2:10" x14ac:dyDescent="0.35">
      <c r="B214" s="132" t="str">
        <f>+'PRIVADO COMPLETO'!A232</f>
        <v>Comisiones</v>
      </c>
      <c r="C214" s="136">
        <f>+'PRIVADO COMPLETO'!O232</f>
        <v>1752000</v>
      </c>
    </row>
    <row r="215" spans="2:10" x14ac:dyDescent="0.35">
      <c r="B215" s="132" t="str">
        <f>+'PRIVADO COMPLETO'!A233</f>
        <v>Intereses Obligaciones financieras</v>
      </c>
      <c r="C215" s="136">
        <f>+'PRIVADO COMPLETO'!O233</f>
        <v>26105000</v>
      </c>
    </row>
    <row r="216" spans="2:10" x14ac:dyDescent="0.35">
      <c r="B216" s="132" t="str">
        <f>+'PRIVADO COMPLETO'!A234</f>
        <v xml:space="preserve">     </v>
      </c>
      <c r="C216" s="136"/>
    </row>
    <row r="217" spans="2:10" x14ac:dyDescent="0.35">
      <c r="B217" s="132"/>
      <c r="C217" s="136"/>
    </row>
    <row r="218" spans="2:10" x14ac:dyDescent="0.35">
      <c r="B218" s="134" t="s">
        <v>508</v>
      </c>
      <c r="C218" s="135">
        <f>+SUM(C220:C225)</f>
        <v>1465989800</v>
      </c>
    </row>
    <row r="220" spans="2:10" x14ac:dyDescent="0.35">
      <c r="B220" s="132" t="s">
        <v>503</v>
      </c>
      <c r="C220" s="136">
        <f>+'PUBLICO COMPLETO'!O67+'PUBLICO COMPLETO'!O68</f>
        <v>894240000</v>
      </c>
      <c r="F220" s="272" t="s">
        <v>885</v>
      </c>
      <c r="G220" s="272" t="s">
        <v>889</v>
      </c>
      <c r="H220" s="374">
        <v>4100000</v>
      </c>
      <c r="I220" s="136"/>
      <c r="J220" s="136"/>
    </row>
    <row r="221" spans="2:10" x14ac:dyDescent="0.35">
      <c r="B221" s="132" t="s">
        <v>504</v>
      </c>
      <c r="C221" s="136">
        <f>+'PUBLICO COMPLETO'!O69+'PUBLICO COMPLETO'!O70+'PUBLICO COMPLETO'!O71+'PUBLICO COMPLETO'!O72+'PUBLICO COMPLETO'!O77+'PUBLICO COMPLETO'!O78+'PUBLICO COMPLETO'!O79+'PUBLICO COMPLETO'!O80+'PUBLICO COMPLETO'!O81+'PUBLICO COMPLETO'!O82</f>
        <v>476532000</v>
      </c>
      <c r="F221" s="272" t="s">
        <v>886</v>
      </c>
      <c r="G221" s="272" t="s">
        <v>888</v>
      </c>
      <c r="H221" s="374">
        <v>6200000</v>
      </c>
      <c r="I221" s="136"/>
      <c r="J221" s="136"/>
    </row>
    <row r="222" spans="2:10" x14ac:dyDescent="0.35">
      <c r="B222" s="132" t="s">
        <v>553</v>
      </c>
      <c r="C222" s="136">
        <f>+'PUBLICO COMPLETO'!O74+'PUBLICO COMPLETO'!O73</f>
        <v>59686000</v>
      </c>
      <c r="F222" s="272" t="s">
        <v>887</v>
      </c>
      <c r="G222" s="272" t="s">
        <v>888</v>
      </c>
      <c r="H222" s="374">
        <v>2800000</v>
      </c>
      <c r="I222" s="136"/>
      <c r="J222" s="136"/>
    </row>
    <row r="223" spans="2:10" x14ac:dyDescent="0.35">
      <c r="B223" s="132" t="s">
        <v>505</v>
      </c>
      <c r="C223" s="136">
        <f>+'PUBLICO COMPLETO'!O76</f>
        <v>18800000</v>
      </c>
      <c r="H223" s="375">
        <f>SUM(H220:H222)</f>
        <v>13100000</v>
      </c>
      <c r="I223" s="136"/>
      <c r="J223" s="136"/>
    </row>
    <row r="224" spans="2:10" x14ac:dyDescent="0.35">
      <c r="B224" s="132" t="s">
        <v>506</v>
      </c>
      <c r="C224" s="136">
        <f>+'PUBLICO COMPLETO'!O75</f>
        <v>15898000</v>
      </c>
    </row>
    <row r="225" spans="2:3" x14ac:dyDescent="0.35">
      <c r="B225" s="132" t="s">
        <v>507</v>
      </c>
      <c r="C225" s="136">
        <f>+'PUBLICO COMPLETO'!O84</f>
        <v>833800</v>
      </c>
    </row>
    <row r="229" spans="2:3" x14ac:dyDescent="0.35">
      <c r="B229" s="134" t="s">
        <v>554</v>
      </c>
      <c r="C229" s="135">
        <f>+SUM(C231:C237)</f>
        <v>90865000</v>
      </c>
    </row>
    <row r="231" spans="2:3" x14ac:dyDescent="0.35">
      <c r="B231" s="132" t="s">
        <v>503</v>
      </c>
      <c r="C231" s="136">
        <f>+'PRIVADO COMPLETO'!O55+'PRIVADO COMPLETO'!O57</f>
        <v>13716000</v>
      </c>
    </row>
    <row r="232" spans="2:3" x14ac:dyDescent="0.35">
      <c r="B232" s="132" t="s">
        <v>504</v>
      </c>
      <c r="C232" s="136">
        <f>+'PRIVADO COMPLETO'!O58+'PRIVADO COMPLETO'!O59+'PRIVADO COMPLETO'!O60+'PRIVADO COMPLETO'!O61+'PRIVADO COMPLETO'!O68+'PRIVADO COMPLETO'!O69+'PRIVADO COMPLETO'!O70+'PRIVADO COMPLETO'!O71+'PRIVADO COMPLETO'!O72+'PRIVADO COMPLETO'!O73</f>
        <v>7824000</v>
      </c>
    </row>
    <row r="233" spans="2:3" x14ac:dyDescent="0.35">
      <c r="B233" s="132" t="s">
        <v>555</v>
      </c>
      <c r="C233" s="136">
        <f>+'PRIVADO COMPLETO'!O62</f>
        <v>26850000</v>
      </c>
    </row>
    <row r="234" spans="2:3" x14ac:dyDescent="0.35">
      <c r="B234" s="132" t="s">
        <v>556</v>
      </c>
      <c r="C234" s="136">
        <f>+'PRIVADO COMPLETO'!O63</f>
        <v>38000000</v>
      </c>
    </row>
    <row r="235" spans="2:3" x14ac:dyDescent="0.35">
      <c r="B235" s="132" t="s">
        <v>858</v>
      </c>
      <c r="C235" s="136">
        <f>+'CTAS MAYORES PRIVADO PRIVADO'!B47</f>
        <v>1000000</v>
      </c>
    </row>
    <row r="236" spans="2:3" x14ac:dyDescent="0.35">
      <c r="B236" s="132" t="s">
        <v>560</v>
      </c>
      <c r="C236" s="136">
        <f>+'PRIVADO COMPLETO'!O65</f>
        <v>2875000</v>
      </c>
    </row>
    <row r="237" spans="2:3" x14ac:dyDescent="0.35">
      <c r="B237" s="132" t="s">
        <v>506</v>
      </c>
      <c r="C237" s="136">
        <f>+'PRIVADO COMPLETO'!O66</f>
        <v>600000</v>
      </c>
    </row>
    <row r="240" spans="2:3" x14ac:dyDescent="0.35">
      <c r="B240" s="134" t="s">
        <v>557</v>
      </c>
      <c r="C240" s="135">
        <f>+C242+C253+C256+C261+C273</f>
        <v>73696937</v>
      </c>
    </row>
    <row r="241" spans="2:3" ht="11.25" customHeight="1" x14ac:dyDescent="0.35"/>
    <row r="242" spans="2:3" x14ac:dyDescent="0.35">
      <c r="B242" s="139" t="str">
        <f>+'PUBLICO COMPLETO'!A278</f>
        <v>Construcciones y Edificaciones</v>
      </c>
      <c r="C242" s="135">
        <f>+'PUBLICO COMPLETO'!O278</f>
        <v>24832140</v>
      </c>
    </row>
    <row r="243" spans="2:3" hidden="1" x14ac:dyDescent="0.35">
      <c r="B243" s="132" t="str">
        <f>+'PUBLICO COMPLETO'!A279</f>
        <v xml:space="preserve">       Avisos en acrilico registros</v>
      </c>
      <c r="C243" s="136">
        <f>+'PUBLICO COMPLETO'!O279</f>
        <v>0</v>
      </c>
    </row>
    <row r="244" spans="2:3" x14ac:dyDescent="0.35">
      <c r="B244" s="132" t="str">
        <f>+'PUBLICO COMPLETO'!A280</f>
        <v xml:space="preserve">       Pintura interior del edificio</v>
      </c>
      <c r="C244" s="136">
        <f>+'PUBLICO COMPLETO'!O280</f>
        <v>10000000</v>
      </c>
    </row>
    <row r="245" spans="2:3" x14ac:dyDescent="0.35">
      <c r="B245" s="132" t="str">
        <f>+'PUBLICO COMPLETO'!A281</f>
        <v xml:space="preserve">       Pintura externa edificio principal</v>
      </c>
      <c r="C245" s="136">
        <f>+'PUBLICO COMPLETO'!O281</f>
        <v>0</v>
      </c>
    </row>
    <row r="246" spans="2:3" hidden="1" x14ac:dyDescent="0.35">
      <c r="B246" s="132" t="str">
        <f>+'PUBLICO COMPLETO'!A282</f>
        <v xml:space="preserve">       Mantenimeitnos varios</v>
      </c>
      <c r="C246" s="136">
        <f>+'PUBLICO COMPLETO'!O282</f>
        <v>6669000</v>
      </c>
    </row>
    <row r="247" spans="2:3" x14ac:dyDescent="0.35">
      <c r="B247" s="132" t="str">
        <f>+'PUBLICO COMPLETO'!A283</f>
        <v xml:space="preserve">       Mantenim. Plancha edificio</v>
      </c>
      <c r="C247" s="136">
        <f>+'PUBLICO COMPLETO'!O283</f>
        <v>1146000</v>
      </c>
    </row>
    <row r="248" spans="2:3" x14ac:dyDescent="0.35">
      <c r="B248" s="132" t="str">
        <f>+'PUBLICO COMPLETO'!A284</f>
        <v xml:space="preserve">       Mantenimiento tanques de reserva</v>
      </c>
      <c r="C248" s="136">
        <f>+'PUBLICO COMPLETO'!O284</f>
        <v>468000</v>
      </c>
    </row>
    <row r="249" spans="2:3" x14ac:dyDescent="0.35">
      <c r="B249" s="132" t="str">
        <f>+'PUBLICO COMPLETO'!A285</f>
        <v xml:space="preserve">       Fumigacion</v>
      </c>
      <c r="C249" s="136">
        <f>+'PUBLICO COMPLETO'!O285</f>
        <v>848140</v>
      </c>
    </row>
    <row r="250" spans="2:3" hidden="1" x14ac:dyDescent="0.35">
      <c r="B250" s="132" t="str">
        <f>+'PUBLICO COMPLETO'!A286</f>
        <v xml:space="preserve">       Adecuación archivo Central</v>
      </c>
      <c r="C250" s="136">
        <f>+'PUBLICO COMPLETO'!O286</f>
        <v>0</v>
      </c>
    </row>
    <row r="251" spans="2:3" x14ac:dyDescent="0.35">
      <c r="B251" s="132" t="str">
        <f>+'PUBLICO COMPLETO'!A287</f>
        <v xml:space="preserve">       Reparaciones eléctricas</v>
      </c>
      <c r="C251" s="136">
        <f>+'PUBLICO COMPLETO'!O287</f>
        <v>1716000</v>
      </c>
    </row>
    <row r="252" spans="2:3" x14ac:dyDescent="0.35">
      <c r="B252" s="132" t="str">
        <f>+'PUBLICO COMPLETO'!A288</f>
        <v xml:space="preserve">       Mantenimiento subestación  eléctrica</v>
      </c>
      <c r="C252" s="136">
        <f>+'PUBLICO COMPLETO'!O288</f>
        <v>3985000</v>
      </c>
    </row>
    <row r="253" spans="2:3" x14ac:dyDescent="0.35">
      <c r="B253" s="139" t="str">
        <f>+'PUBLICO COMPLETO'!A289</f>
        <v>Maquinaria y Equipo</v>
      </c>
      <c r="C253" s="135">
        <f>+'PUBLICO COMPLETO'!O289</f>
        <v>2564000</v>
      </c>
    </row>
    <row r="254" spans="2:3" x14ac:dyDescent="0.35">
      <c r="B254" s="132" t="str">
        <f>+'PUBLICO COMPLETO'!A290</f>
        <v xml:space="preserve">        Mantenim.Planta eléctrica</v>
      </c>
      <c r="C254" s="136">
        <f>+'PUBLICO COMPLETO'!O290</f>
        <v>2064000</v>
      </c>
    </row>
    <row r="255" spans="2:3" x14ac:dyDescent="0.35">
      <c r="B255" s="132" t="str">
        <f>+'PUBLICO COMPLETO'!A291</f>
        <v xml:space="preserve">        Repuestos Planta electrica</v>
      </c>
      <c r="C255" s="136">
        <f>+'PUBLICO COMPLETO'!O291</f>
        <v>500000</v>
      </c>
    </row>
    <row r="256" spans="2:3" x14ac:dyDescent="0.35">
      <c r="B256" s="139" t="str">
        <f>+'PUBLICO COMPLETO'!A292</f>
        <v>Equipo de Oficina</v>
      </c>
      <c r="C256" s="135">
        <f>+'PUBLICO COMPLETO'!O292</f>
        <v>16254000</v>
      </c>
    </row>
    <row r="257" spans="2:3" x14ac:dyDescent="0.35">
      <c r="B257" s="132" t="str">
        <f>+'PUBLICO COMPLETO'!A293</f>
        <v xml:space="preserve">       Mantenimiento de Aires (23 unds.) </v>
      </c>
      <c r="C257" s="136">
        <f>+'PUBLICO COMPLETO'!O293</f>
        <v>7986000</v>
      </c>
    </row>
    <row r="258" spans="2:3" x14ac:dyDescent="0.35">
      <c r="B258" s="132" t="str">
        <f>+'PUBLICO COMPLETO'!A298</f>
        <v xml:space="preserve">       Recarga extintores</v>
      </c>
      <c r="C258" s="136">
        <f>+'PUBLICO COMPLETO'!O298</f>
        <v>179000</v>
      </c>
    </row>
    <row r="259" spans="2:3" x14ac:dyDescent="0.35">
      <c r="B259" s="132" t="str">
        <f>+'PUBLICO COMPLETO'!A299</f>
        <v xml:space="preserve">       Reparación sillas  y otros</v>
      </c>
      <c r="C259" s="136">
        <f>+'PUBLICO COMPLETO'!O299</f>
        <v>2043000</v>
      </c>
    </row>
    <row r="260" spans="2:3" x14ac:dyDescent="0.35">
      <c r="B260" s="132" t="str">
        <f>+'PUBLICO COMPLETO'!A300</f>
        <v xml:space="preserve">       Cambio filtro y MO purificador agua</v>
      </c>
      <c r="C260" s="136">
        <f>+'PUBLICO COMPLETO'!O300</f>
        <v>250000</v>
      </c>
    </row>
    <row r="261" spans="2:3" x14ac:dyDescent="0.35">
      <c r="B261" s="139" t="str">
        <f>+'PUBLICO COMPLETO'!A301</f>
        <v>Equipo de Computación y Comunicación</v>
      </c>
      <c r="C261" s="135">
        <f>+'PUBLICO COMPLETO'!O301</f>
        <v>24055797</v>
      </c>
    </row>
    <row r="262" spans="2:3" x14ac:dyDescent="0.35">
      <c r="B262" s="132" t="str">
        <f>+'PUBLICO COMPLETO'!A302</f>
        <v xml:space="preserve">        Mantenimiento central telefónica</v>
      </c>
      <c r="C262" s="136">
        <f>+'PUBLICO COMPLETO'!O302</f>
        <v>0</v>
      </c>
    </row>
    <row r="263" spans="2:3" x14ac:dyDescent="0.35">
      <c r="B263" s="132" t="str">
        <f>+'PUBLICO COMPLETO'!A303</f>
        <v xml:space="preserve">        Kit mantenimiento impresora</v>
      </c>
      <c r="C263" s="136">
        <f>+'PUBLICO COMPLETO'!O303</f>
        <v>5671597</v>
      </c>
    </row>
    <row r="264" spans="2:3" x14ac:dyDescent="0.35">
      <c r="B264" s="132" t="str">
        <f>+'PUBLICO COMPLETO'!A304</f>
        <v xml:space="preserve">        Mantenim. Impresoras lasser</v>
      </c>
      <c r="C264" s="136">
        <f>+'PUBLICO COMPLETO'!O304</f>
        <v>2718000</v>
      </c>
    </row>
    <row r="265" spans="2:3" x14ac:dyDescent="0.35">
      <c r="B265" s="132" t="str">
        <f>+'PUBLICO COMPLETO'!A305</f>
        <v xml:space="preserve">        Insumos y herramientas equipos de computo</v>
      </c>
      <c r="C265" s="136">
        <f>+'PUBLICO COMPLETO'!O305</f>
        <v>970000</v>
      </c>
    </row>
    <row r="266" spans="2:3" x14ac:dyDescent="0.35">
      <c r="B266" s="132" t="str">
        <f>+'PUBLICO COMPLETO'!A306</f>
        <v xml:space="preserve">        Mantenim. UPS</v>
      </c>
      <c r="C266" s="136">
        <f>+'PUBLICO COMPLETO'!O306</f>
        <v>1891200</v>
      </c>
    </row>
    <row r="267" spans="2:3" x14ac:dyDescent="0.35">
      <c r="B267" s="132" t="str">
        <f>+'PUBLICO COMPLETO'!A307</f>
        <v xml:space="preserve">        Baterias para UPS</v>
      </c>
      <c r="C267" s="136">
        <f>+'PUBLICO COMPLETO'!O307</f>
        <v>271000</v>
      </c>
    </row>
    <row r="268" spans="2:3" x14ac:dyDescent="0.35">
      <c r="B268" s="132" t="str">
        <f>+'PUBLICO COMPLETO'!A308</f>
        <v xml:space="preserve">        Soporte magiturno</v>
      </c>
      <c r="C268" s="136">
        <f>+'PUBLICO COMPLETO'!O308</f>
        <v>928000</v>
      </c>
    </row>
    <row r="269" spans="2:3" x14ac:dyDescent="0.35">
      <c r="B269" s="132" t="str">
        <f>+'PUBLICO COMPLETO'!A309</f>
        <v xml:space="preserve">        Adecuación rack servidores</v>
      </c>
      <c r="C269" s="136">
        <f>+'PUBLICO COMPLETO'!O309</f>
        <v>700000</v>
      </c>
    </row>
    <row r="270" spans="2:3" x14ac:dyDescent="0.35">
      <c r="B270" s="132" t="str">
        <f>+'PUBLICO COMPLETO'!A310</f>
        <v xml:space="preserve">        Mantenimiento pagina web</v>
      </c>
      <c r="C270" s="136">
        <f>+'PUBLICO COMPLETO'!O310</f>
        <v>4500000</v>
      </c>
    </row>
    <row r="271" spans="2:3" x14ac:dyDescent="0.35">
      <c r="B271" s="132" t="str">
        <f>+'PUBLICO COMPLETO'!A311</f>
        <v xml:space="preserve">        Kit scanner</v>
      </c>
      <c r="C271" s="136">
        <f>+'PUBLICO COMPLETO'!O311</f>
        <v>490000</v>
      </c>
    </row>
    <row r="272" spans="2:3" x14ac:dyDescent="0.35">
      <c r="B272" s="132" t="str">
        <f>+'PUBLICO COMPLETO'!A312</f>
        <v xml:space="preserve">        Manten.Scanner</v>
      </c>
      <c r="C272" s="136">
        <f>+'PUBLICO COMPLETO'!O312</f>
        <v>5916000</v>
      </c>
    </row>
    <row r="273" spans="2:3" x14ac:dyDescent="0.35">
      <c r="B273" s="139" t="str">
        <f>+'PUBLICO COMPLETO'!A313</f>
        <v>Vehiculos</v>
      </c>
      <c r="C273" s="135">
        <f>+'PUBLICO COMPLETO'!O313</f>
        <v>5991000</v>
      </c>
    </row>
    <row r="274" spans="2:3" x14ac:dyDescent="0.35">
      <c r="B274" s="132" t="str">
        <f>+'PUBLICO COMPLETO'!A314</f>
        <v xml:space="preserve">       Mantenimiento vehiculo</v>
      </c>
      <c r="C274" s="136">
        <f>+'PUBLICO COMPLETO'!O314</f>
        <v>5991000</v>
      </c>
    </row>
    <row r="275" spans="2:3" x14ac:dyDescent="0.35">
      <c r="B275" s="132"/>
    </row>
    <row r="276" spans="2:3" x14ac:dyDescent="0.35">
      <c r="B276" s="134" t="s">
        <v>143</v>
      </c>
      <c r="C276" s="135">
        <f>+C278+C279+C280+C281+C282+C283+C284</f>
        <v>59461600</v>
      </c>
    </row>
    <row r="278" spans="2:3" x14ac:dyDescent="0.35">
      <c r="B278" s="132" t="str">
        <f>+'PRIVADO COMPLETO'!A16</f>
        <v xml:space="preserve">       VTA.INFORMA.COMERCIAL-PRIVADO</v>
      </c>
      <c r="C278" s="136">
        <f>+'PRIVADO COMPLETO'!O16</f>
        <v>14000000</v>
      </c>
    </row>
    <row r="279" spans="2:3" x14ac:dyDescent="0.35">
      <c r="B279" s="132" t="str">
        <f>+'PRIVADO COMPLETO'!A17</f>
        <v xml:space="preserve">       COMPITE 360</v>
      </c>
      <c r="C279" s="136">
        <f>+'PRIVADO COMPLETO'!O17</f>
        <v>0</v>
      </c>
    </row>
    <row r="280" spans="2:3" x14ac:dyDescent="0.35">
      <c r="B280" s="132" t="str">
        <f>+'PRIVADO COMPLETO'!A18</f>
        <v xml:space="preserve">       DEPOSITO ESTAD.FINANCI.-PRIVAD</v>
      </c>
      <c r="C280" s="136">
        <f>+'PRIVADO COMPLETO'!O18</f>
        <v>16000000</v>
      </c>
    </row>
    <row r="281" spans="2:3" x14ac:dyDescent="0.35">
      <c r="B281" s="132" t="str">
        <f>+'PRIVADO COMPLETO'!A19</f>
        <v xml:space="preserve">       COPIAS Y FOTOCOPIAS-PRIVADO</v>
      </c>
      <c r="C281" s="136">
        <f>+'PRIVADO COMPLETO'!O19</f>
        <v>2258300</v>
      </c>
    </row>
    <row r="282" spans="2:3" x14ac:dyDescent="0.35">
      <c r="B282" s="132" t="str">
        <f>+'PRIVADO COMPLETO'!A21</f>
        <v xml:space="preserve">       VENTA DE LIBROS Y HOJAS</v>
      </c>
      <c r="C282" s="136">
        <f>+'PRIVADO COMPLETO'!O21</f>
        <v>2203300</v>
      </c>
    </row>
    <row r="283" spans="2:3" x14ac:dyDescent="0.35">
      <c r="B283" s="132" t="str">
        <f>+'PRIVADO COMPLETO'!A22</f>
        <v xml:space="preserve">       VENTA DE PUBLICIDAD REVISTA 1</v>
      </c>
      <c r="C283" s="136">
        <f>+'PRIVADO COMPLETO'!O22</f>
        <v>12500000</v>
      </c>
    </row>
    <row r="284" spans="2:3" x14ac:dyDescent="0.35">
      <c r="B284" s="132" t="str">
        <f>+'PRIVADO COMPLETO'!A23</f>
        <v xml:space="preserve">       VENTA DE PUBLICIDAD REVISTA 2</v>
      </c>
      <c r="C284" s="136">
        <f>+'PRIVADO COMPLETO'!O23</f>
        <v>12500000</v>
      </c>
    </row>
    <row r="285" spans="2:3" x14ac:dyDescent="0.35">
      <c r="B285" s="132"/>
    </row>
    <row r="287" spans="2:3" x14ac:dyDescent="0.35">
      <c r="B287" s="134" t="s">
        <v>7</v>
      </c>
      <c r="C287" s="135">
        <f>+C289+C290+C291</f>
        <v>192096000</v>
      </c>
    </row>
    <row r="289" spans="2:3" x14ac:dyDescent="0.35">
      <c r="B289" s="132" t="str">
        <f>+'PRIVADO COMPLETO'!A30</f>
        <v xml:space="preserve">          LOCALES-PRIVADO</v>
      </c>
      <c r="C289" s="136">
        <f>+'PRIVADO COMPLETO'!O30</f>
        <v>87096000</v>
      </c>
    </row>
    <row r="290" spans="2:3" x14ac:dyDescent="0.35">
      <c r="B290" s="132" t="str">
        <f>+'PRIVADO COMPLETO'!A33</f>
        <v xml:space="preserve">          SALONES-PRIVADO</v>
      </c>
      <c r="C290" s="136">
        <f>+'PRIVADO COMPLETO'!O33</f>
        <v>94000000</v>
      </c>
    </row>
    <row r="291" spans="2:3" x14ac:dyDescent="0.35">
      <c r="B291" s="132" t="s">
        <v>892</v>
      </c>
      <c r="C291" s="136">
        <f>+'PRIVADO COMPLETO'!O34</f>
        <v>11000000</v>
      </c>
    </row>
  </sheetData>
  <mergeCells count="2">
    <mergeCell ref="D199:D200"/>
    <mergeCell ref="D193:F19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O31"/>
  <sheetViews>
    <sheetView topLeftCell="A10" workbookViewId="0">
      <pane xSplit="2" topLeftCell="F1" activePane="topRight" state="frozen"/>
      <selection pane="topRight" activeCell="O19" sqref="O19"/>
    </sheetView>
  </sheetViews>
  <sheetFormatPr baseColWidth="10" defaultColWidth="11.26953125" defaultRowHeight="14.5" x14ac:dyDescent="0.35"/>
  <cols>
    <col min="1" max="1" width="3.26953125" style="141" customWidth="1"/>
    <col min="2" max="2" width="41.453125" style="141" customWidth="1"/>
    <col min="3" max="6" width="14.54296875" style="141" bestFit="1" customWidth="1"/>
    <col min="7" max="7" width="15.54296875" style="141" bestFit="1" customWidth="1"/>
    <col min="8" max="8" width="11.453125" style="141" bestFit="1" customWidth="1"/>
    <col min="9" max="10" width="12" style="141" bestFit="1" customWidth="1"/>
    <col min="11" max="11" width="15.81640625" style="141" bestFit="1" customWidth="1"/>
    <col min="12" max="14" width="11.453125" style="141" bestFit="1" customWidth="1"/>
    <col min="15" max="256" width="11.26953125" style="141"/>
    <col min="257" max="257" width="3.26953125" style="141" customWidth="1"/>
    <col min="258" max="258" width="33.1796875" style="141" customWidth="1"/>
    <col min="259" max="512" width="11.26953125" style="141"/>
    <col min="513" max="513" width="3.26953125" style="141" customWidth="1"/>
    <col min="514" max="514" width="33.1796875" style="141" customWidth="1"/>
    <col min="515" max="768" width="11.26953125" style="141"/>
    <col min="769" max="769" width="3.26953125" style="141" customWidth="1"/>
    <col min="770" max="770" width="33.1796875" style="141" customWidth="1"/>
    <col min="771" max="1024" width="11.26953125" style="141"/>
    <col min="1025" max="1025" width="3.26953125" style="141" customWidth="1"/>
    <col min="1026" max="1026" width="33.1796875" style="141" customWidth="1"/>
    <col min="1027" max="1280" width="11.26953125" style="141"/>
    <col min="1281" max="1281" width="3.26953125" style="141" customWidth="1"/>
    <col min="1282" max="1282" width="33.1796875" style="141" customWidth="1"/>
    <col min="1283" max="1536" width="11.26953125" style="141"/>
    <col min="1537" max="1537" width="3.26953125" style="141" customWidth="1"/>
    <col min="1538" max="1538" width="33.1796875" style="141" customWidth="1"/>
    <col min="1539" max="1792" width="11.26953125" style="141"/>
    <col min="1793" max="1793" width="3.26953125" style="141" customWidth="1"/>
    <col min="1794" max="1794" width="33.1796875" style="141" customWidth="1"/>
    <col min="1795" max="2048" width="11.26953125" style="141"/>
    <col min="2049" max="2049" width="3.26953125" style="141" customWidth="1"/>
    <col min="2050" max="2050" width="33.1796875" style="141" customWidth="1"/>
    <col min="2051" max="2304" width="11.26953125" style="141"/>
    <col min="2305" max="2305" width="3.26953125" style="141" customWidth="1"/>
    <col min="2306" max="2306" width="33.1796875" style="141" customWidth="1"/>
    <col min="2307" max="2560" width="11.26953125" style="141"/>
    <col min="2561" max="2561" width="3.26953125" style="141" customWidth="1"/>
    <col min="2562" max="2562" width="33.1796875" style="141" customWidth="1"/>
    <col min="2563" max="2816" width="11.26953125" style="141"/>
    <col min="2817" max="2817" width="3.26953125" style="141" customWidth="1"/>
    <col min="2818" max="2818" width="33.1796875" style="141" customWidth="1"/>
    <col min="2819" max="3072" width="11.26953125" style="141"/>
    <col min="3073" max="3073" width="3.26953125" style="141" customWidth="1"/>
    <col min="3074" max="3074" width="33.1796875" style="141" customWidth="1"/>
    <col min="3075" max="3328" width="11.26953125" style="141"/>
    <col min="3329" max="3329" width="3.26953125" style="141" customWidth="1"/>
    <col min="3330" max="3330" width="33.1796875" style="141" customWidth="1"/>
    <col min="3331" max="3584" width="11.26953125" style="141"/>
    <col min="3585" max="3585" width="3.26953125" style="141" customWidth="1"/>
    <col min="3586" max="3586" width="33.1796875" style="141" customWidth="1"/>
    <col min="3587" max="3840" width="11.26953125" style="141"/>
    <col min="3841" max="3841" width="3.26953125" style="141" customWidth="1"/>
    <col min="3842" max="3842" width="33.1796875" style="141" customWidth="1"/>
    <col min="3843" max="4096" width="11.26953125" style="141"/>
    <col min="4097" max="4097" width="3.26953125" style="141" customWidth="1"/>
    <col min="4098" max="4098" width="33.1796875" style="141" customWidth="1"/>
    <col min="4099" max="4352" width="11.26953125" style="141"/>
    <col min="4353" max="4353" width="3.26953125" style="141" customWidth="1"/>
    <col min="4354" max="4354" width="33.1796875" style="141" customWidth="1"/>
    <col min="4355" max="4608" width="11.26953125" style="141"/>
    <col min="4609" max="4609" width="3.26953125" style="141" customWidth="1"/>
    <col min="4610" max="4610" width="33.1796875" style="141" customWidth="1"/>
    <col min="4611" max="4864" width="11.26953125" style="141"/>
    <col min="4865" max="4865" width="3.26953125" style="141" customWidth="1"/>
    <col min="4866" max="4866" width="33.1796875" style="141" customWidth="1"/>
    <col min="4867" max="5120" width="11.26953125" style="141"/>
    <col min="5121" max="5121" width="3.26953125" style="141" customWidth="1"/>
    <col min="5122" max="5122" width="33.1796875" style="141" customWidth="1"/>
    <col min="5123" max="5376" width="11.26953125" style="141"/>
    <col min="5377" max="5377" width="3.26953125" style="141" customWidth="1"/>
    <col min="5378" max="5378" width="33.1796875" style="141" customWidth="1"/>
    <col min="5379" max="5632" width="11.26953125" style="141"/>
    <col min="5633" max="5633" width="3.26953125" style="141" customWidth="1"/>
    <col min="5634" max="5634" width="33.1796875" style="141" customWidth="1"/>
    <col min="5635" max="5888" width="11.26953125" style="141"/>
    <col min="5889" max="5889" width="3.26953125" style="141" customWidth="1"/>
    <col min="5890" max="5890" width="33.1796875" style="141" customWidth="1"/>
    <col min="5891" max="6144" width="11.26953125" style="141"/>
    <col min="6145" max="6145" width="3.26953125" style="141" customWidth="1"/>
    <col min="6146" max="6146" width="33.1796875" style="141" customWidth="1"/>
    <col min="6147" max="6400" width="11.26953125" style="141"/>
    <col min="6401" max="6401" width="3.26953125" style="141" customWidth="1"/>
    <col min="6402" max="6402" width="33.1796875" style="141" customWidth="1"/>
    <col min="6403" max="6656" width="11.26953125" style="141"/>
    <col min="6657" max="6657" width="3.26953125" style="141" customWidth="1"/>
    <col min="6658" max="6658" width="33.1796875" style="141" customWidth="1"/>
    <col min="6659" max="6912" width="11.26953125" style="141"/>
    <col min="6913" max="6913" width="3.26953125" style="141" customWidth="1"/>
    <col min="6914" max="6914" width="33.1796875" style="141" customWidth="1"/>
    <col min="6915" max="7168" width="11.26953125" style="141"/>
    <col min="7169" max="7169" width="3.26953125" style="141" customWidth="1"/>
    <col min="7170" max="7170" width="33.1796875" style="141" customWidth="1"/>
    <col min="7171" max="7424" width="11.26953125" style="141"/>
    <col min="7425" max="7425" width="3.26953125" style="141" customWidth="1"/>
    <col min="7426" max="7426" width="33.1796875" style="141" customWidth="1"/>
    <col min="7427" max="7680" width="11.26953125" style="141"/>
    <col min="7681" max="7681" width="3.26953125" style="141" customWidth="1"/>
    <col min="7682" max="7682" width="33.1796875" style="141" customWidth="1"/>
    <col min="7683" max="7936" width="11.26953125" style="141"/>
    <col min="7937" max="7937" width="3.26953125" style="141" customWidth="1"/>
    <col min="7938" max="7938" width="33.1796875" style="141" customWidth="1"/>
    <col min="7939" max="8192" width="11.26953125" style="141"/>
    <col min="8193" max="8193" width="3.26953125" style="141" customWidth="1"/>
    <col min="8194" max="8194" width="33.1796875" style="141" customWidth="1"/>
    <col min="8195" max="8448" width="11.26953125" style="141"/>
    <col min="8449" max="8449" width="3.26953125" style="141" customWidth="1"/>
    <col min="8450" max="8450" width="33.1796875" style="141" customWidth="1"/>
    <col min="8451" max="8704" width="11.26953125" style="141"/>
    <col min="8705" max="8705" width="3.26953125" style="141" customWidth="1"/>
    <col min="8706" max="8706" width="33.1796875" style="141" customWidth="1"/>
    <col min="8707" max="8960" width="11.26953125" style="141"/>
    <col min="8961" max="8961" width="3.26953125" style="141" customWidth="1"/>
    <col min="8962" max="8962" width="33.1796875" style="141" customWidth="1"/>
    <col min="8963" max="9216" width="11.26953125" style="141"/>
    <col min="9217" max="9217" width="3.26953125" style="141" customWidth="1"/>
    <col min="9218" max="9218" width="33.1796875" style="141" customWidth="1"/>
    <col min="9219" max="9472" width="11.26953125" style="141"/>
    <col min="9473" max="9473" width="3.26953125" style="141" customWidth="1"/>
    <col min="9474" max="9474" width="33.1796875" style="141" customWidth="1"/>
    <col min="9475" max="9728" width="11.26953125" style="141"/>
    <col min="9729" max="9729" width="3.26953125" style="141" customWidth="1"/>
    <col min="9730" max="9730" width="33.1796875" style="141" customWidth="1"/>
    <col min="9731" max="9984" width="11.26953125" style="141"/>
    <col min="9985" max="9985" width="3.26953125" style="141" customWidth="1"/>
    <col min="9986" max="9986" width="33.1796875" style="141" customWidth="1"/>
    <col min="9987" max="10240" width="11.26953125" style="141"/>
    <col min="10241" max="10241" width="3.26953125" style="141" customWidth="1"/>
    <col min="10242" max="10242" width="33.1796875" style="141" customWidth="1"/>
    <col min="10243" max="10496" width="11.26953125" style="141"/>
    <col min="10497" max="10497" width="3.26953125" style="141" customWidth="1"/>
    <col min="10498" max="10498" width="33.1796875" style="141" customWidth="1"/>
    <col min="10499" max="10752" width="11.26953125" style="141"/>
    <col min="10753" max="10753" width="3.26953125" style="141" customWidth="1"/>
    <col min="10754" max="10754" width="33.1796875" style="141" customWidth="1"/>
    <col min="10755" max="11008" width="11.26953125" style="141"/>
    <col min="11009" max="11009" width="3.26953125" style="141" customWidth="1"/>
    <col min="11010" max="11010" width="33.1796875" style="141" customWidth="1"/>
    <col min="11011" max="11264" width="11.26953125" style="141"/>
    <col min="11265" max="11265" width="3.26953125" style="141" customWidth="1"/>
    <col min="11266" max="11266" width="33.1796875" style="141" customWidth="1"/>
    <col min="11267" max="11520" width="11.26953125" style="141"/>
    <col min="11521" max="11521" width="3.26953125" style="141" customWidth="1"/>
    <col min="11522" max="11522" width="33.1796875" style="141" customWidth="1"/>
    <col min="11523" max="11776" width="11.26953125" style="141"/>
    <col min="11777" max="11777" width="3.26953125" style="141" customWidth="1"/>
    <col min="11778" max="11778" width="33.1796875" style="141" customWidth="1"/>
    <col min="11779" max="12032" width="11.26953125" style="141"/>
    <col min="12033" max="12033" width="3.26953125" style="141" customWidth="1"/>
    <col min="12034" max="12034" width="33.1796875" style="141" customWidth="1"/>
    <col min="12035" max="12288" width="11.26953125" style="141"/>
    <col min="12289" max="12289" width="3.26953125" style="141" customWidth="1"/>
    <col min="12290" max="12290" width="33.1796875" style="141" customWidth="1"/>
    <col min="12291" max="12544" width="11.26953125" style="141"/>
    <col min="12545" max="12545" width="3.26953125" style="141" customWidth="1"/>
    <col min="12546" max="12546" width="33.1796875" style="141" customWidth="1"/>
    <col min="12547" max="12800" width="11.26953125" style="141"/>
    <col min="12801" max="12801" width="3.26953125" style="141" customWidth="1"/>
    <col min="12802" max="12802" width="33.1796875" style="141" customWidth="1"/>
    <col min="12803" max="13056" width="11.26953125" style="141"/>
    <col min="13057" max="13057" width="3.26953125" style="141" customWidth="1"/>
    <col min="13058" max="13058" width="33.1796875" style="141" customWidth="1"/>
    <col min="13059" max="13312" width="11.26953125" style="141"/>
    <col min="13313" max="13313" width="3.26953125" style="141" customWidth="1"/>
    <col min="13314" max="13314" width="33.1796875" style="141" customWidth="1"/>
    <col min="13315" max="13568" width="11.26953125" style="141"/>
    <col min="13569" max="13569" width="3.26953125" style="141" customWidth="1"/>
    <col min="13570" max="13570" width="33.1796875" style="141" customWidth="1"/>
    <col min="13571" max="13824" width="11.26953125" style="141"/>
    <col min="13825" max="13825" width="3.26953125" style="141" customWidth="1"/>
    <col min="13826" max="13826" width="33.1796875" style="141" customWidth="1"/>
    <col min="13827" max="14080" width="11.26953125" style="141"/>
    <col min="14081" max="14081" width="3.26953125" style="141" customWidth="1"/>
    <col min="14082" max="14082" width="33.1796875" style="141" customWidth="1"/>
    <col min="14083" max="14336" width="11.26953125" style="141"/>
    <col min="14337" max="14337" width="3.26953125" style="141" customWidth="1"/>
    <col min="14338" max="14338" width="33.1796875" style="141" customWidth="1"/>
    <col min="14339" max="14592" width="11.26953125" style="141"/>
    <col min="14593" max="14593" width="3.26953125" style="141" customWidth="1"/>
    <col min="14594" max="14594" width="33.1796875" style="141" customWidth="1"/>
    <col min="14595" max="14848" width="11.26953125" style="141"/>
    <col min="14849" max="14849" width="3.26953125" style="141" customWidth="1"/>
    <col min="14850" max="14850" width="33.1796875" style="141" customWidth="1"/>
    <col min="14851" max="15104" width="11.26953125" style="141"/>
    <col min="15105" max="15105" width="3.26953125" style="141" customWidth="1"/>
    <col min="15106" max="15106" width="33.1796875" style="141" customWidth="1"/>
    <col min="15107" max="15360" width="11.26953125" style="141"/>
    <col min="15361" max="15361" width="3.26953125" style="141" customWidth="1"/>
    <col min="15362" max="15362" width="33.1796875" style="141" customWidth="1"/>
    <col min="15363" max="15616" width="11.26953125" style="141"/>
    <col min="15617" max="15617" width="3.26953125" style="141" customWidth="1"/>
    <col min="15618" max="15618" width="33.1796875" style="141" customWidth="1"/>
    <col min="15619" max="15872" width="11.26953125" style="141"/>
    <col min="15873" max="15873" width="3.26953125" style="141" customWidth="1"/>
    <col min="15874" max="15874" width="33.1796875" style="141" customWidth="1"/>
    <col min="15875" max="16128" width="11.26953125" style="141"/>
    <col min="16129" max="16129" width="3.26953125" style="141" customWidth="1"/>
    <col min="16130" max="16130" width="33.1796875" style="141" customWidth="1"/>
    <col min="16131" max="16384" width="11.26953125" style="141"/>
  </cols>
  <sheetData>
    <row r="1" spans="1:15" x14ac:dyDescent="0.35">
      <c r="A1" s="142" t="s">
        <v>332</v>
      </c>
      <c r="B1" s="142" t="s">
        <v>333</v>
      </c>
      <c r="C1" s="142" t="s">
        <v>334</v>
      </c>
      <c r="D1" s="142" t="s">
        <v>335</v>
      </c>
      <c r="E1" s="142" t="s">
        <v>336</v>
      </c>
      <c r="F1" s="142" t="s">
        <v>337</v>
      </c>
      <c r="G1" s="142" t="s">
        <v>338</v>
      </c>
      <c r="H1" s="142" t="s">
        <v>339</v>
      </c>
      <c r="I1" s="142" t="s">
        <v>340</v>
      </c>
      <c r="J1" s="142" t="s">
        <v>341</v>
      </c>
      <c r="K1" s="142" t="s">
        <v>342</v>
      </c>
      <c r="L1" s="142" t="s">
        <v>343</v>
      </c>
      <c r="M1" s="142" t="s">
        <v>344</v>
      </c>
      <c r="N1" s="142" t="s">
        <v>345</v>
      </c>
      <c r="O1" s="142" t="s">
        <v>346</v>
      </c>
    </row>
    <row r="2" spans="1:15" x14ac:dyDescent="0.3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5"/>
    </row>
    <row r="3" spans="1:15" x14ac:dyDescent="0.35">
      <c r="A3" s="144" t="s">
        <v>347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5"/>
    </row>
    <row r="4" spans="1:15" x14ac:dyDescent="0.35">
      <c r="A4" s="143"/>
      <c r="B4" s="143" t="s">
        <v>348</v>
      </c>
      <c r="C4" s="264">
        <v>0</v>
      </c>
      <c r="D4" s="264">
        <v>0</v>
      </c>
      <c r="E4" s="264">
        <v>0</v>
      </c>
      <c r="F4" s="264">
        <v>0</v>
      </c>
      <c r="G4" s="264">
        <v>0</v>
      </c>
      <c r="H4" s="264">
        <v>0</v>
      </c>
      <c r="I4" s="264">
        <v>0</v>
      </c>
      <c r="J4" s="264">
        <v>0</v>
      </c>
      <c r="K4" s="264">
        <v>0</v>
      </c>
      <c r="L4" s="264">
        <v>0</v>
      </c>
      <c r="M4" s="264">
        <v>0</v>
      </c>
      <c r="N4" s="264">
        <v>0</v>
      </c>
      <c r="O4" s="145">
        <f>SUM(C4:N4)</f>
        <v>0</v>
      </c>
    </row>
    <row r="5" spans="1:15" x14ac:dyDescent="0.35">
      <c r="A5" s="143"/>
      <c r="B5" s="143" t="s">
        <v>349</v>
      </c>
      <c r="C5" s="338">
        <v>0</v>
      </c>
      <c r="D5" s="338">
        <v>0</v>
      </c>
      <c r="E5" s="339">
        <v>0</v>
      </c>
      <c r="F5" s="338">
        <v>0</v>
      </c>
      <c r="G5" s="338">
        <v>0</v>
      </c>
      <c r="H5" s="338">
        <v>0</v>
      </c>
      <c r="I5" s="338">
        <v>0</v>
      </c>
      <c r="J5" s="338">
        <v>0</v>
      </c>
      <c r="K5" s="338">
        <v>0</v>
      </c>
      <c r="L5" s="338">
        <v>0</v>
      </c>
      <c r="M5" s="338">
        <v>0</v>
      </c>
      <c r="N5" s="338">
        <v>0</v>
      </c>
      <c r="O5" s="145">
        <f t="shared" ref="O5:O19" si="0">SUM(C5:N5)</f>
        <v>0</v>
      </c>
    </row>
    <row r="6" spans="1:15" x14ac:dyDescent="0.35">
      <c r="A6" s="143"/>
      <c r="B6" s="336" t="s">
        <v>350</v>
      </c>
      <c r="C6" s="334">
        <v>6750000</v>
      </c>
      <c r="D6" s="342">
        <v>4500000</v>
      </c>
      <c r="E6" s="342">
        <v>0</v>
      </c>
      <c r="F6" s="342">
        <v>2250000</v>
      </c>
      <c r="G6" s="343">
        <v>0</v>
      </c>
      <c r="H6" s="343">
        <v>0</v>
      </c>
      <c r="I6" s="343">
        <v>0</v>
      </c>
      <c r="J6" s="343"/>
      <c r="K6" s="343">
        <v>0</v>
      </c>
      <c r="L6" s="343">
        <v>0</v>
      </c>
      <c r="M6" s="343">
        <v>0</v>
      </c>
      <c r="N6" s="343">
        <v>0</v>
      </c>
      <c r="O6" s="337">
        <f t="shared" si="0"/>
        <v>13500000</v>
      </c>
    </row>
    <row r="7" spans="1:15" x14ac:dyDescent="0.35">
      <c r="A7" s="143"/>
      <c r="B7" s="336" t="s">
        <v>879</v>
      </c>
      <c r="C7" s="334">
        <v>2772000</v>
      </c>
      <c r="D7" s="342"/>
      <c r="E7" s="342"/>
      <c r="F7" s="342"/>
      <c r="G7" s="343"/>
      <c r="H7" s="343"/>
      <c r="I7" s="343"/>
      <c r="J7" s="343"/>
      <c r="K7" s="343"/>
      <c r="L7" s="343"/>
      <c r="M7" s="343"/>
      <c r="N7" s="343"/>
      <c r="O7" s="337"/>
    </row>
    <row r="8" spans="1:15" x14ac:dyDescent="0.35">
      <c r="A8" s="143"/>
      <c r="B8" s="336" t="s">
        <v>844</v>
      </c>
      <c r="C8" s="334">
        <v>2476000</v>
      </c>
      <c r="D8" s="342"/>
      <c r="E8" s="342"/>
      <c r="F8" s="342"/>
      <c r="G8" s="343"/>
      <c r="H8" s="343"/>
      <c r="I8" s="343"/>
      <c r="J8" s="343"/>
      <c r="K8" s="343"/>
      <c r="L8" s="343"/>
      <c r="M8" s="343"/>
      <c r="N8" s="343"/>
      <c r="O8" s="337"/>
    </row>
    <row r="9" spans="1:15" x14ac:dyDescent="0.35">
      <c r="A9" s="143"/>
      <c r="B9" s="336" t="s">
        <v>845</v>
      </c>
      <c r="C9" s="334">
        <v>1185000</v>
      </c>
      <c r="D9" s="342"/>
      <c r="E9" s="342"/>
      <c r="F9" s="342"/>
      <c r="G9" s="343"/>
      <c r="H9" s="343"/>
      <c r="I9" s="343"/>
      <c r="J9" s="343"/>
      <c r="K9" s="343"/>
      <c r="L9" s="343"/>
      <c r="M9" s="343"/>
      <c r="N9" s="343"/>
      <c r="O9" s="337"/>
    </row>
    <row r="10" spans="1:15" x14ac:dyDescent="0.35">
      <c r="A10" s="143"/>
      <c r="B10" s="148" t="s">
        <v>837</v>
      </c>
      <c r="C10" s="340">
        <v>1300000</v>
      </c>
      <c r="D10" s="149">
        <v>0</v>
      </c>
      <c r="E10" s="340">
        <v>0</v>
      </c>
      <c r="F10" s="340">
        <v>0</v>
      </c>
      <c r="G10" s="341">
        <v>0</v>
      </c>
      <c r="H10" s="341">
        <v>0</v>
      </c>
      <c r="I10" s="341">
        <v>0</v>
      </c>
      <c r="J10" s="341">
        <v>0</v>
      </c>
      <c r="K10" s="341"/>
      <c r="L10" s="341"/>
      <c r="M10" s="341"/>
      <c r="N10" s="341"/>
      <c r="O10" s="145">
        <f t="shared" si="0"/>
        <v>1300000</v>
      </c>
    </row>
    <row r="11" spans="1:15" s="149" customFormat="1" x14ac:dyDescent="0.35">
      <c r="A11" s="147"/>
      <c r="B11" s="150" t="s">
        <v>838</v>
      </c>
      <c r="C11" s="334">
        <v>0</v>
      </c>
      <c r="D11" s="335">
        <v>0</v>
      </c>
      <c r="E11" s="335">
        <v>0</v>
      </c>
      <c r="F11" s="335">
        <v>0</v>
      </c>
      <c r="G11" s="335">
        <v>0</v>
      </c>
      <c r="H11" s="335">
        <v>0</v>
      </c>
      <c r="I11" s="335">
        <v>0</v>
      </c>
      <c r="J11" s="335">
        <v>0</v>
      </c>
      <c r="K11" s="335">
        <v>0</v>
      </c>
      <c r="L11" s="335">
        <v>0</v>
      </c>
      <c r="M11" s="335">
        <v>0</v>
      </c>
      <c r="N11" s="335">
        <v>0</v>
      </c>
      <c r="O11" s="145">
        <f t="shared" si="0"/>
        <v>0</v>
      </c>
    </row>
    <row r="12" spans="1:15" s="149" customFormat="1" x14ac:dyDescent="0.35">
      <c r="A12" s="147"/>
      <c r="B12" s="150" t="s">
        <v>839</v>
      </c>
      <c r="C12" s="334">
        <v>0</v>
      </c>
      <c r="D12" s="335">
        <v>0</v>
      </c>
      <c r="E12" s="148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5">
        <f t="shared" si="0"/>
        <v>0</v>
      </c>
    </row>
    <row r="13" spans="1:15" s="149" customFormat="1" x14ac:dyDescent="0.35">
      <c r="A13" s="147"/>
      <c r="B13" s="150" t="s">
        <v>493</v>
      </c>
      <c r="C13" s="334"/>
      <c r="D13" s="335"/>
      <c r="E13" s="148"/>
      <c r="F13" s="147">
        <v>2500000</v>
      </c>
      <c r="G13" s="147"/>
      <c r="H13" s="147"/>
      <c r="I13" s="147"/>
      <c r="J13" s="147"/>
      <c r="K13" s="147"/>
      <c r="L13" s="147"/>
      <c r="M13" s="147"/>
      <c r="N13" s="147"/>
      <c r="O13" s="145">
        <f t="shared" si="0"/>
        <v>2500000</v>
      </c>
    </row>
    <row r="14" spans="1:15" x14ac:dyDescent="0.35">
      <c r="A14" s="143"/>
      <c r="B14" s="143" t="s">
        <v>352</v>
      </c>
      <c r="C14" s="266">
        <v>0</v>
      </c>
      <c r="D14" s="264">
        <v>0</v>
      </c>
      <c r="E14" s="264">
        <v>0</v>
      </c>
      <c r="F14" s="264"/>
      <c r="G14" s="264">
        <v>0</v>
      </c>
      <c r="H14" s="264">
        <v>0</v>
      </c>
      <c r="I14" s="264">
        <v>0</v>
      </c>
      <c r="J14" s="264">
        <v>0</v>
      </c>
      <c r="K14" s="264">
        <v>0</v>
      </c>
      <c r="L14" s="264">
        <v>0</v>
      </c>
      <c r="M14" s="264">
        <v>0</v>
      </c>
      <c r="N14" s="264">
        <v>0</v>
      </c>
      <c r="O14" s="145">
        <f t="shared" si="0"/>
        <v>0</v>
      </c>
    </row>
    <row r="15" spans="1:15" x14ac:dyDescent="0.35">
      <c r="A15" s="143"/>
      <c r="B15" s="143" t="s">
        <v>841</v>
      </c>
      <c r="C15" s="266"/>
      <c r="D15" s="264">
        <v>3500000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145">
        <f t="shared" si="0"/>
        <v>3500000</v>
      </c>
    </row>
    <row r="16" spans="1:15" x14ac:dyDescent="0.35">
      <c r="A16" s="143"/>
      <c r="B16" s="143" t="s">
        <v>846</v>
      </c>
      <c r="C16" s="266">
        <v>1200000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145">
        <f t="shared" si="0"/>
        <v>1200000</v>
      </c>
    </row>
    <row r="17" spans="1:15" x14ac:dyDescent="0.35">
      <c r="A17" s="143"/>
      <c r="B17" s="143" t="s">
        <v>840</v>
      </c>
      <c r="C17" s="266">
        <v>1000000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145">
        <f t="shared" si="0"/>
        <v>1000000</v>
      </c>
    </row>
    <row r="18" spans="1:15" x14ac:dyDescent="0.35">
      <c r="A18" s="143"/>
      <c r="B18" s="146" t="s">
        <v>353</v>
      </c>
      <c r="C18" s="264">
        <v>0</v>
      </c>
      <c r="D18" s="264">
        <v>0</v>
      </c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145">
        <f t="shared" si="0"/>
        <v>0</v>
      </c>
    </row>
    <row r="19" spans="1:15" x14ac:dyDescent="0.35">
      <c r="A19" s="143"/>
      <c r="B19" s="143" t="s">
        <v>494</v>
      </c>
      <c r="C19" s="264">
        <v>0</v>
      </c>
      <c r="D19" s="264">
        <v>0</v>
      </c>
      <c r="E19" s="264">
        <v>0</v>
      </c>
      <c r="F19" s="264">
        <v>0</v>
      </c>
      <c r="G19" s="264">
        <v>25000000</v>
      </c>
      <c r="H19" s="264">
        <v>0</v>
      </c>
      <c r="I19" s="264">
        <v>0</v>
      </c>
      <c r="J19" s="264">
        <v>0</v>
      </c>
      <c r="K19" s="264">
        <v>0</v>
      </c>
      <c r="L19" s="264">
        <v>0</v>
      </c>
      <c r="M19" s="264">
        <v>0</v>
      </c>
      <c r="N19" s="264">
        <v>0</v>
      </c>
      <c r="O19" s="145">
        <f t="shared" si="0"/>
        <v>25000000</v>
      </c>
    </row>
    <row r="20" spans="1:15" x14ac:dyDescent="0.35">
      <c r="A20" s="142"/>
      <c r="B20" s="142"/>
      <c r="C20" s="152">
        <f>SUM(C4:C19)</f>
        <v>16683000</v>
      </c>
      <c r="D20" s="152">
        <f t="shared" ref="D20:N20" si="1">SUM(D4:D19)</f>
        <v>8000000</v>
      </c>
      <c r="E20" s="152">
        <f t="shared" si="1"/>
        <v>0</v>
      </c>
      <c r="F20" s="152">
        <f t="shared" si="1"/>
        <v>4750000</v>
      </c>
      <c r="G20" s="152">
        <f t="shared" si="1"/>
        <v>25000000</v>
      </c>
      <c r="H20" s="152">
        <f t="shared" si="1"/>
        <v>0</v>
      </c>
      <c r="I20" s="152">
        <f t="shared" si="1"/>
        <v>0</v>
      </c>
      <c r="J20" s="152">
        <f t="shared" si="1"/>
        <v>0</v>
      </c>
      <c r="K20" s="152">
        <f t="shared" si="1"/>
        <v>0</v>
      </c>
      <c r="L20" s="152">
        <f t="shared" si="1"/>
        <v>0</v>
      </c>
      <c r="M20" s="152">
        <f t="shared" si="1"/>
        <v>0</v>
      </c>
      <c r="N20" s="152">
        <f t="shared" si="1"/>
        <v>0</v>
      </c>
      <c r="O20" s="152">
        <f t="shared" ref="O20" si="2">SUM(O4:O19)</f>
        <v>48000000</v>
      </c>
    </row>
    <row r="21" spans="1:15" x14ac:dyDescent="0.35">
      <c r="A21" s="143"/>
      <c r="B21" s="143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</row>
    <row r="24" spans="1:15" x14ac:dyDescent="0.35">
      <c r="A24" s="142" t="s">
        <v>332</v>
      </c>
      <c r="B24" s="142" t="s">
        <v>333</v>
      </c>
      <c r="C24" s="142" t="s">
        <v>334</v>
      </c>
      <c r="D24" s="142" t="s">
        <v>335</v>
      </c>
      <c r="E24" s="142" t="s">
        <v>336</v>
      </c>
      <c r="F24" s="142" t="s">
        <v>337</v>
      </c>
      <c r="G24" s="142" t="s">
        <v>338</v>
      </c>
      <c r="H24" s="142" t="s">
        <v>339</v>
      </c>
      <c r="I24" s="142" t="s">
        <v>340</v>
      </c>
      <c r="J24" s="142" t="s">
        <v>341</v>
      </c>
      <c r="K24" s="142" t="s">
        <v>342</v>
      </c>
      <c r="L24" s="142" t="s">
        <v>343</v>
      </c>
      <c r="M24" s="142" t="s">
        <v>344</v>
      </c>
      <c r="N24" s="142" t="s">
        <v>345</v>
      </c>
      <c r="O24" s="142" t="s">
        <v>346</v>
      </c>
    </row>
    <row r="25" spans="1:15" x14ac:dyDescent="0.35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5"/>
    </row>
    <row r="26" spans="1:15" x14ac:dyDescent="0.35">
      <c r="A26" s="144" t="s">
        <v>354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5"/>
    </row>
    <row r="27" spans="1:15" x14ac:dyDescent="0.35">
      <c r="A27" s="143"/>
      <c r="B27" s="143" t="s">
        <v>348</v>
      </c>
      <c r="C27" s="264">
        <v>0</v>
      </c>
      <c r="D27" s="264">
        <v>0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64">
        <v>0</v>
      </c>
      <c r="O27" s="145">
        <f>SUM(C27:N27)</f>
        <v>0</v>
      </c>
    </row>
    <row r="28" spans="1:15" x14ac:dyDescent="0.35">
      <c r="A28" s="143"/>
      <c r="B28" s="143" t="s">
        <v>352</v>
      </c>
      <c r="C28" s="264">
        <v>0</v>
      </c>
      <c r="D28" s="264">
        <v>0</v>
      </c>
      <c r="E28" s="265">
        <v>0</v>
      </c>
      <c r="F28" s="264">
        <v>0</v>
      </c>
      <c r="G28" s="264">
        <v>0</v>
      </c>
      <c r="H28" s="264">
        <v>0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145">
        <f t="shared" ref="O28:O30" si="3">SUM(C28:N28)</f>
        <v>0</v>
      </c>
    </row>
    <row r="29" spans="1:15" x14ac:dyDescent="0.35">
      <c r="A29" s="143"/>
      <c r="B29" s="143" t="s">
        <v>872</v>
      </c>
      <c r="C29" s="264">
        <v>2000000</v>
      </c>
      <c r="D29" s="264"/>
      <c r="E29" s="265"/>
      <c r="F29" s="264"/>
      <c r="G29" s="264"/>
      <c r="H29" s="264"/>
      <c r="I29" s="264"/>
      <c r="J29" s="264"/>
      <c r="K29" s="264"/>
      <c r="L29" s="264"/>
      <c r="M29" s="264"/>
      <c r="N29" s="264"/>
      <c r="O29" s="145"/>
    </row>
    <row r="30" spans="1:15" x14ac:dyDescent="0.35">
      <c r="A30" s="143"/>
      <c r="B30" s="146" t="s">
        <v>843</v>
      </c>
      <c r="C30" s="146">
        <v>4500000</v>
      </c>
      <c r="D30" s="146"/>
      <c r="E30" s="146">
        <v>0</v>
      </c>
      <c r="F30" s="146">
        <v>0</v>
      </c>
      <c r="G30" s="143">
        <v>0</v>
      </c>
      <c r="H30" s="143">
        <v>0</v>
      </c>
      <c r="I30" s="143">
        <v>0</v>
      </c>
      <c r="J30" s="143"/>
      <c r="K30" s="143">
        <v>0</v>
      </c>
      <c r="L30" s="143">
        <v>0</v>
      </c>
      <c r="M30" s="143">
        <v>0</v>
      </c>
      <c r="N30" s="143">
        <v>0</v>
      </c>
      <c r="O30" s="145">
        <f t="shared" si="3"/>
        <v>4500000</v>
      </c>
    </row>
    <row r="31" spans="1:15" x14ac:dyDescent="0.35">
      <c r="A31" s="142"/>
      <c r="B31" s="142"/>
      <c r="C31" s="152">
        <f t="shared" ref="C31:O31" si="4">SUM(C23:C30)</f>
        <v>6500000</v>
      </c>
      <c r="D31" s="152">
        <f t="shared" si="4"/>
        <v>0</v>
      </c>
      <c r="E31" s="152">
        <f t="shared" si="4"/>
        <v>0</v>
      </c>
      <c r="F31" s="152">
        <f t="shared" si="4"/>
        <v>0</v>
      </c>
      <c r="G31" s="152">
        <f t="shared" si="4"/>
        <v>0</v>
      </c>
      <c r="H31" s="152">
        <f t="shared" si="4"/>
        <v>0</v>
      </c>
      <c r="I31" s="152">
        <f t="shared" si="4"/>
        <v>0</v>
      </c>
      <c r="J31" s="152">
        <f t="shared" si="4"/>
        <v>0</v>
      </c>
      <c r="K31" s="152">
        <f t="shared" si="4"/>
        <v>0</v>
      </c>
      <c r="L31" s="152">
        <f t="shared" si="4"/>
        <v>0</v>
      </c>
      <c r="M31" s="152">
        <f t="shared" si="4"/>
        <v>0</v>
      </c>
      <c r="N31" s="152">
        <f t="shared" si="4"/>
        <v>0</v>
      </c>
      <c r="O31" s="152">
        <f t="shared" si="4"/>
        <v>4500000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G33"/>
  <sheetViews>
    <sheetView showGridLines="0" topLeftCell="A7" workbookViewId="0">
      <selection activeCell="A21" sqref="A21"/>
    </sheetView>
  </sheetViews>
  <sheetFormatPr baseColWidth="10" defaultColWidth="11.26953125" defaultRowHeight="14.5" x14ac:dyDescent="0.35"/>
  <cols>
    <col min="1" max="1" width="51.1796875" style="141" customWidth="1"/>
    <col min="2" max="2" width="12.453125" style="141" bestFit="1" customWidth="1"/>
    <col min="3" max="243" width="11.26953125" style="141"/>
    <col min="244" max="244" width="3.26953125" style="141" customWidth="1"/>
    <col min="245" max="245" width="33.1796875" style="141" customWidth="1"/>
    <col min="246" max="499" width="11.26953125" style="141"/>
    <col min="500" max="500" width="3.26953125" style="141" customWidth="1"/>
    <col min="501" max="501" width="33.1796875" style="141" customWidth="1"/>
    <col min="502" max="755" width="11.26953125" style="141"/>
    <col min="756" max="756" width="3.26953125" style="141" customWidth="1"/>
    <col min="757" max="757" width="33.1796875" style="141" customWidth="1"/>
    <col min="758" max="1011" width="11.26953125" style="141"/>
    <col min="1012" max="1012" width="3.26953125" style="141" customWidth="1"/>
    <col min="1013" max="1013" width="33.1796875" style="141" customWidth="1"/>
    <col min="1014" max="1267" width="11.26953125" style="141"/>
    <col min="1268" max="1268" width="3.26953125" style="141" customWidth="1"/>
    <col min="1269" max="1269" width="33.1796875" style="141" customWidth="1"/>
    <col min="1270" max="1523" width="11.26953125" style="141"/>
    <col min="1524" max="1524" width="3.26953125" style="141" customWidth="1"/>
    <col min="1525" max="1525" width="33.1796875" style="141" customWidth="1"/>
    <col min="1526" max="1779" width="11.26953125" style="141"/>
    <col min="1780" max="1780" width="3.26953125" style="141" customWidth="1"/>
    <col min="1781" max="1781" width="33.1796875" style="141" customWidth="1"/>
    <col min="1782" max="2035" width="11.26953125" style="141"/>
    <col min="2036" max="2036" width="3.26953125" style="141" customWidth="1"/>
    <col min="2037" max="2037" width="33.1796875" style="141" customWidth="1"/>
    <col min="2038" max="2291" width="11.26953125" style="141"/>
    <col min="2292" max="2292" width="3.26953125" style="141" customWidth="1"/>
    <col min="2293" max="2293" width="33.1796875" style="141" customWidth="1"/>
    <col min="2294" max="2547" width="11.26953125" style="141"/>
    <col min="2548" max="2548" width="3.26953125" style="141" customWidth="1"/>
    <col min="2549" max="2549" width="33.1796875" style="141" customWidth="1"/>
    <col min="2550" max="2803" width="11.26953125" style="141"/>
    <col min="2804" max="2804" width="3.26953125" style="141" customWidth="1"/>
    <col min="2805" max="2805" width="33.1796875" style="141" customWidth="1"/>
    <col min="2806" max="3059" width="11.26953125" style="141"/>
    <col min="3060" max="3060" width="3.26953125" style="141" customWidth="1"/>
    <col min="3061" max="3061" width="33.1796875" style="141" customWidth="1"/>
    <col min="3062" max="3315" width="11.26953125" style="141"/>
    <col min="3316" max="3316" width="3.26953125" style="141" customWidth="1"/>
    <col min="3317" max="3317" width="33.1796875" style="141" customWidth="1"/>
    <col min="3318" max="3571" width="11.26953125" style="141"/>
    <col min="3572" max="3572" width="3.26953125" style="141" customWidth="1"/>
    <col min="3573" max="3573" width="33.1796875" style="141" customWidth="1"/>
    <col min="3574" max="3827" width="11.26953125" style="141"/>
    <col min="3828" max="3828" width="3.26953125" style="141" customWidth="1"/>
    <col min="3829" max="3829" width="33.1796875" style="141" customWidth="1"/>
    <col min="3830" max="4083" width="11.26953125" style="141"/>
    <col min="4084" max="4084" width="3.26953125" style="141" customWidth="1"/>
    <col min="4085" max="4085" width="33.1796875" style="141" customWidth="1"/>
    <col min="4086" max="4339" width="11.26953125" style="141"/>
    <col min="4340" max="4340" width="3.26953125" style="141" customWidth="1"/>
    <col min="4341" max="4341" width="33.1796875" style="141" customWidth="1"/>
    <col min="4342" max="4595" width="11.26953125" style="141"/>
    <col min="4596" max="4596" width="3.26953125" style="141" customWidth="1"/>
    <col min="4597" max="4597" width="33.1796875" style="141" customWidth="1"/>
    <col min="4598" max="4851" width="11.26953125" style="141"/>
    <col min="4852" max="4852" width="3.26953125" style="141" customWidth="1"/>
    <col min="4853" max="4853" width="33.1796875" style="141" customWidth="1"/>
    <col min="4854" max="5107" width="11.26953125" style="141"/>
    <col min="5108" max="5108" width="3.26953125" style="141" customWidth="1"/>
    <col min="5109" max="5109" width="33.1796875" style="141" customWidth="1"/>
    <col min="5110" max="5363" width="11.26953125" style="141"/>
    <col min="5364" max="5364" width="3.26953125" style="141" customWidth="1"/>
    <col min="5365" max="5365" width="33.1796875" style="141" customWidth="1"/>
    <col min="5366" max="5619" width="11.26953125" style="141"/>
    <col min="5620" max="5620" width="3.26953125" style="141" customWidth="1"/>
    <col min="5621" max="5621" width="33.1796875" style="141" customWidth="1"/>
    <col min="5622" max="5875" width="11.26953125" style="141"/>
    <col min="5876" max="5876" width="3.26953125" style="141" customWidth="1"/>
    <col min="5877" max="5877" width="33.1796875" style="141" customWidth="1"/>
    <col min="5878" max="6131" width="11.26953125" style="141"/>
    <col min="6132" max="6132" width="3.26953125" style="141" customWidth="1"/>
    <col min="6133" max="6133" width="33.1796875" style="141" customWidth="1"/>
    <col min="6134" max="6387" width="11.26953125" style="141"/>
    <col min="6388" max="6388" width="3.26953125" style="141" customWidth="1"/>
    <col min="6389" max="6389" width="33.1796875" style="141" customWidth="1"/>
    <col min="6390" max="6643" width="11.26953125" style="141"/>
    <col min="6644" max="6644" width="3.26953125" style="141" customWidth="1"/>
    <col min="6645" max="6645" width="33.1796875" style="141" customWidth="1"/>
    <col min="6646" max="6899" width="11.26953125" style="141"/>
    <col min="6900" max="6900" width="3.26953125" style="141" customWidth="1"/>
    <col min="6901" max="6901" width="33.1796875" style="141" customWidth="1"/>
    <col min="6902" max="7155" width="11.26953125" style="141"/>
    <col min="7156" max="7156" width="3.26953125" style="141" customWidth="1"/>
    <col min="7157" max="7157" width="33.1796875" style="141" customWidth="1"/>
    <col min="7158" max="7411" width="11.26953125" style="141"/>
    <col min="7412" max="7412" width="3.26953125" style="141" customWidth="1"/>
    <col min="7413" max="7413" width="33.1796875" style="141" customWidth="1"/>
    <col min="7414" max="7667" width="11.26953125" style="141"/>
    <col min="7668" max="7668" width="3.26953125" style="141" customWidth="1"/>
    <col min="7669" max="7669" width="33.1796875" style="141" customWidth="1"/>
    <col min="7670" max="7923" width="11.26953125" style="141"/>
    <col min="7924" max="7924" width="3.26953125" style="141" customWidth="1"/>
    <col min="7925" max="7925" width="33.1796875" style="141" customWidth="1"/>
    <col min="7926" max="8179" width="11.26953125" style="141"/>
    <col min="8180" max="8180" width="3.26953125" style="141" customWidth="1"/>
    <col min="8181" max="8181" width="33.1796875" style="141" customWidth="1"/>
    <col min="8182" max="8435" width="11.26953125" style="141"/>
    <col min="8436" max="8436" width="3.26953125" style="141" customWidth="1"/>
    <col min="8437" max="8437" width="33.1796875" style="141" customWidth="1"/>
    <col min="8438" max="8691" width="11.26953125" style="141"/>
    <col min="8692" max="8692" width="3.26953125" style="141" customWidth="1"/>
    <col min="8693" max="8693" width="33.1796875" style="141" customWidth="1"/>
    <col min="8694" max="8947" width="11.26953125" style="141"/>
    <col min="8948" max="8948" width="3.26953125" style="141" customWidth="1"/>
    <col min="8949" max="8949" width="33.1796875" style="141" customWidth="1"/>
    <col min="8950" max="9203" width="11.26953125" style="141"/>
    <col min="9204" max="9204" width="3.26953125" style="141" customWidth="1"/>
    <col min="9205" max="9205" width="33.1796875" style="141" customWidth="1"/>
    <col min="9206" max="9459" width="11.26953125" style="141"/>
    <col min="9460" max="9460" width="3.26953125" style="141" customWidth="1"/>
    <col min="9461" max="9461" width="33.1796875" style="141" customWidth="1"/>
    <col min="9462" max="9715" width="11.26953125" style="141"/>
    <col min="9716" max="9716" width="3.26953125" style="141" customWidth="1"/>
    <col min="9717" max="9717" width="33.1796875" style="141" customWidth="1"/>
    <col min="9718" max="9971" width="11.26953125" style="141"/>
    <col min="9972" max="9972" width="3.26953125" style="141" customWidth="1"/>
    <col min="9973" max="9973" width="33.1796875" style="141" customWidth="1"/>
    <col min="9974" max="10227" width="11.26953125" style="141"/>
    <col min="10228" max="10228" width="3.26953125" style="141" customWidth="1"/>
    <col min="10229" max="10229" width="33.1796875" style="141" customWidth="1"/>
    <col min="10230" max="10483" width="11.26953125" style="141"/>
    <col min="10484" max="10484" width="3.26953125" style="141" customWidth="1"/>
    <col min="10485" max="10485" width="33.1796875" style="141" customWidth="1"/>
    <col min="10486" max="10739" width="11.26953125" style="141"/>
    <col min="10740" max="10740" width="3.26953125" style="141" customWidth="1"/>
    <col min="10741" max="10741" width="33.1796875" style="141" customWidth="1"/>
    <col min="10742" max="10995" width="11.26953125" style="141"/>
    <col min="10996" max="10996" width="3.26953125" style="141" customWidth="1"/>
    <col min="10997" max="10997" width="33.1796875" style="141" customWidth="1"/>
    <col min="10998" max="11251" width="11.26953125" style="141"/>
    <col min="11252" max="11252" width="3.26953125" style="141" customWidth="1"/>
    <col min="11253" max="11253" width="33.1796875" style="141" customWidth="1"/>
    <col min="11254" max="11507" width="11.26953125" style="141"/>
    <col min="11508" max="11508" width="3.26953125" style="141" customWidth="1"/>
    <col min="11509" max="11509" width="33.1796875" style="141" customWidth="1"/>
    <col min="11510" max="11763" width="11.26953125" style="141"/>
    <col min="11764" max="11764" width="3.26953125" style="141" customWidth="1"/>
    <col min="11765" max="11765" width="33.1796875" style="141" customWidth="1"/>
    <col min="11766" max="12019" width="11.26953125" style="141"/>
    <col min="12020" max="12020" width="3.26953125" style="141" customWidth="1"/>
    <col min="12021" max="12021" width="33.1796875" style="141" customWidth="1"/>
    <col min="12022" max="12275" width="11.26953125" style="141"/>
    <col min="12276" max="12276" width="3.26953125" style="141" customWidth="1"/>
    <col min="12277" max="12277" width="33.1796875" style="141" customWidth="1"/>
    <col min="12278" max="12531" width="11.26953125" style="141"/>
    <col min="12532" max="12532" width="3.26953125" style="141" customWidth="1"/>
    <col min="12533" max="12533" width="33.1796875" style="141" customWidth="1"/>
    <col min="12534" max="12787" width="11.26953125" style="141"/>
    <col min="12788" max="12788" width="3.26953125" style="141" customWidth="1"/>
    <col min="12789" max="12789" width="33.1796875" style="141" customWidth="1"/>
    <col min="12790" max="13043" width="11.26953125" style="141"/>
    <col min="13044" max="13044" width="3.26953125" style="141" customWidth="1"/>
    <col min="13045" max="13045" width="33.1796875" style="141" customWidth="1"/>
    <col min="13046" max="13299" width="11.26953125" style="141"/>
    <col min="13300" max="13300" width="3.26953125" style="141" customWidth="1"/>
    <col min="13301" max="13301" width="33.1796875" style="141" customWidth="1"/>
    <col min="13302" max="13555" width="11.26953125" style="141"/>
    <col min="13556" max="13556" width="3.26953125" style="141" customWidth="1"/>
    <col min="13557" max="13557" width="33.1796875" style="141" customWidth="1"/>
    <col min="13558" max="13811" width="11.26953125" style="141"/>
    <col min="13812" max="13812" width="3.26953125" style="141" customWidth="1"/>
    <col min="13813" max="13813" width="33.1796875" style="141" customWidth="1"/>
    <col min="13814" max="14067" width="11.26953125" style="141"/>
    <col min="14068" max="14068" width="3.26953125" style="141" customWidth="1"/>
    <col min="14069" max="14069" width="33.1796875" style="141" customWidth="1"/>
    <col min="14070" max="14323" width="11.26953125" style="141"/>
    <col min="14324" max="14324" width="3.26953125" style="141" customWidth="1"/>
    <col min="14325" max="14325" width="33.1796875" style="141" customWidth="1"/>
    <col min="14326" max="14579" width="11.26953125" style="141"/>
    <col min="14580" max="14580" width="3.26953125" style="141" customWidth="1"/>
    <col min="14581" max="14581" width="33.1796875" style="141" customWidth="1"/>
    <col min="14582" max="14835" width="11.26953125" style="141"/>
    <col min="14836" max="14836" width="3.26953125" style="141" customWidth="1"/>
    <col min="14837" max="14837" width="33.1796875" style="141" customWidth="1"/>
    <col min="14838" max="15091" width="11.26953125" style="141"/>
    <col min="15092" max="15092" width="3.26953125" style="141" customWidth="1"/>
    <col min="15093" max="15093" width="33.1796875" style="141" customWidth="1"/>
    <col min="15094" max="15347" width="11.26953125" style="141"/>
    <col min="15348" max="15348" width="3.26953125" style="141" customWidth="1"/>
    <col min="15349" max="15349" width="33.1796875" style="141" customWidth="1"/>
    <col min="15350" max="15603" width="11.26953125" style="141"/>
    <col min="15604" max="15604" width="3.26953125" style="141" customWidth="1"/>
    <col min="15605" max="15605" width="33.1796875" style="141" customWidth="1"/>
    <col min="15606" max="15859" width="11.26953125" style="141"/>
    <col min="15860" max="15860" width="3.26953125" style="141" customWidth="1"/>
    <col min="15861" max="15861" width="33.1796875" style="141" customWidth="1"/>
    <col min="15862" max="16115" width="11.26953125" style="141"/>
    <col min="16116" max="16116" width="3.26953125" style="141" customWidth="1"/>
    <col min="16117" max="16117" width="33.1796875" style="141" customWidth="1"/>
    <col min="16118" max="16384" width="11.26953125" style="141"/>
  </cols>
  <sheetData>
    <row r="1" spans="1:7" x14ac:dyDescent="0.35">
      <c r="A1" s="140"/>
      <c r="B1" s="140"/>
    </row>
    <row r="3" spans="1:7" x14ac:dyDescent="0.35">
      <c r="A3" s="221" t="s">
        <v>347</v>
      </c>
      <c r="B3" s="222"/>
    </row>
    <row r="4" spans="1:7" x14ac:dyDescent="0.35">
      <c r="A4" s="223" t="s">
        <v>349</v>
      </c>
      <c r="B4" s="224">
        <f>+SUM(B5:B15)</f>
        <v>23733000</v>
      </c>
    </row>
    <row r="5" spans="1:7" x14ac:dyDescent="0.35">
      <c r="A5" s="225" t="s">
        <v>847</v>
      </c>
      <c r="B5" s="412">
        <v>2250000</v>
      </c>
      <c r="C5" s="141">
        <v>2431999</v>
      </c>
      <c r="D5" s="413">
        <f>+B5+B6+B7+B8+B11+B12+B13+B14+B17+B18</f>
        <v>21433000</v>
      </c>
      <c r="E5" s="414">
        <f>+D5/B21</f>
        <v>0.40111915857241781</v>
      </c>
      <c r="F5" s="141">
        <v>38063000</v>
      </c>
      <c r="G5" s="141">
        <f>+F5/B21</f>
        <v>0.71235004585181438</v>
      </c>
    </row>
    <row r="6" spans="1:7" x14ac:dyDescent="0.35">
      <c r="A6" s="225" t="s">
        <v>848</v>
      </c>
      <c r="B6" s="412">
        <v>2250000</v>
      </c>
      <c r="C6" s="141">
        <v>2431999</v>
      </c>
    </row>
    <row r="7" spans="1:7" x14ac:dyDescent="0.35">
      <c r="A7" s="225" t="s">
        <v>849</v>
      </c>
      <c r="B7" s="412">
        <v>2250000</v>
      </c>
      <c r="C7" s="141">
        <v>2431999</v>
      </c>
    </row>
    <row r="8" spans="1:7" x14ac:dyDescent="0.35">
      <c r="A8" s="225" t="s">
        <v>850</v>
      </c>
      <c r="B8" s="412">
        <v>2250000</v>
      </c>
      <c r="C8" s="141">
        <v>2431999</v>
      </c>
    </row>
    <row r="9" spans="1:7" x14ac:dyDescent="0.35">
      <c r="A9" s="225" t="s">
        <v>851</v>
      </c>
      <c r="B9" s="226">
        <v>2250000</v>
      </c>
    </row>
    <row r="10" spans="1:7" x14ac:dyDescent="0.35">
      <c r="A10" s="225" t="s">
        <v>852</v>
      </c>
      <c r="B10" s="226">
        <v>2250000</v>
      </c>
      <c r="C10" s="141" t="s">
        <v>164</v>
      </c>
    </row>
    <row r="11" spans="1:7" x14ac:dyDescent="0.35">
      <c r="A11" s="225" t="s">
        <v>882</v>
      </c>
      <c r="B11" s="412">
        <v>2476000</v>
      </c>
      <c r="C11" s="141">
        <v>2410000</v>
      </c>
    </row>
    <row r="12" spans="1:7" x14ac:dyDescent="0.35">
      <c r="A12" s="225" t="s">
        <v>881</v>
      </c>
      <c r="B12" s="412">
        <v>2772000</v>
      </c>
      <c r="C12" s="141">
        <v>2412000</v>
      </c>
    </row>
    <row r="13" spans="1:7" x14ac:dyDescent="0.35">
      <c r="A13" s="225" t="s">
        <v>880</v>
      </c>
      <c r="B13" s="412">
        <v>1185000</v>
      </c>
    </row>
    <row r="14" spans="1:7" s="149" customFormat="1" x14ac:dyDescent="0.35">
      <c r="A14" s="227" t="s">
        <v>853</v>
      </c>
      <c r="B14" s="412">
        <v>1300000</v>
      </c>
      <c r="C14" s="149">
        <v>1349000</v>
      </c>
    </row>
    <row r="15" spans="1:7" s="149" customFormat="1" x14ac:dyDescent="0.35">
      <c r="A15" s="227" t="s">
        <v>351</v>
      </c>
      <c r="B15" s="226">
        <v>2500000</v>
      </c>
    </row>
    <row r="16" spans="1:7" s="149" customFormat="1" x14ac:dyDescent="0.35">
      <c r="A16" s="344" t="s">
        <v>352</v>
      </c>
      <c r="B16" s="224">
        <f>+SUM(B17:B18)</f>
        <v>4700000</v>
      </c>
    </row>
    <row r="17" spans="1:3" s="149" customFormat="1" x14ac:dyDescent="0.35">
      <c r="A17" s="227" t="s">
        <v>854</v>
      </c>
      <c r="B17" s="415">
        <v>1200000</v>
      </c>
      <c r="C17" s="149">
        <v>1552950</v>
      </c>
    </row>
    <row r="18" spans="1:3" s="149" customFormat="1" x14ac:dyDescent="0.35">
      <c r="A18" s="227" t="s">
        <v>855</v>
      </c>
      <c r="B18" s="412">
        <v>3500000</v>
      </c>
      <c r="C18" s="149">
        <v>3462900</v>
      </c>
    </row>
    <row r="19" spans="1:3" x14ac:dyDescent="0.35">
      <c r="A19" s="223" t="s">
        <v>563</v>
      </c>
      <c r="B19" s="224">
        <f>+SUM(B20:B20)</f>
        <v>25000000</v>
      </c>
    </row>
    <row r="20" spans="1:3" x14ac:dyDescent="0.35">
      <c r="A20" s="222" t="s">
        <v>922</v>
      </c>
      <c r="B20" s="226">
        <v>25000000</v>
      </c>
    </row>
    <row r="21" spans="1:3" x14ac:dyDescent="0.35">
      <c r="A21" s="228"/>
      <c r="B21" s="229">
        <f>+B4+B16+B19</f>
        <v>53433000</v>
      </c>
    </row>
    <row r="22" spans="1:3" ht="8.25" customHeight="1" x14ac:dyDescent="0.35">
      <c r="A22" s="222"/>
      <c r="B22" s="230"/>
    </row>
    <row r="23" spans="1:3" x14ac:dyDescent="0.35">
      <c r="A23" s="231" t="s">
        <v>354</v>
      </c>
      <c r="B23" s="224"/>
    </row>
    <row r="24" spans="1:3" x14ac:dyDescent="0.35">
      <c r="A24" s="223" t="s">
        <v>352</v>
      </c>
      <c r="B24" s="224">
        <f>+SUM(B25:B27)</f>
        <v>7500000</v>
      </c>
    </row>
    <row r="25" spans="1:3" x14ac:dyDescent="0.35">
      <c r="A25" s="232" t="s">
        <v>842</v>
      </c>
      <c r="B25" s="226">
        <v>4500000</v>
      </c>
    </row>
    <row r="26" spans="1:3" x14ac:dyDescent="0.35">
      <c r="A26" s="232" t="s">
        <v>873</v>
      </c>
      <c r="B26" s="226">
        <v>2000000</v>
      </c>
    </row>
    <row r="27" spans="1:3" x14ac:dyDescent="0.35">
      <c r="A27" s="232" t="s">
        <v>856</v>
      </c>
      <c r="B27" s="412">
        <v>1000000</v>
      </c>
    </row>
    <row r="28" spans="1:3" x14ac:dyDescent="0.35">
      <c r="A28" s="228"/>
      <c r="B28" s="229">
        <f>+B24</f>
        <v>7500000</v>
      </c>
    </row>
    <row r="29" spans="1:3" ht="9.75" customHeight="1" x14ac:dyDescent="0.35">
      <c r="A29" s="222"/>
      <c r="B29" s="230"/>
    </row>
    <row r="30" spans="1:3" x14ac:dyDescent="0.35">
      <c r="A30" s="233" t="s">
        <v>857</v>
      </c>
      <c r="B30" s="234">
        <f>+B21+B28</f>
        <v>60933000</v>
      </c>
    </row>
    <row r="32" spans="1:3" x14ac:dyDescent="0.35">
      <c r="A32" s="141" t="s">
        <v>920</v>
      </c>
      <c r="C32" s="141">
        <v>2241484</v>
      </c>
    </row>
    <row r="33" spans="1:3" x14ac:dyDescent="0.35">
      <c r="A33" s="141" t="s">
        <v>921</v>
      </c>
      <c r="C33" s="141">
        <v>1569991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D17"/>
  <sheetViews>
    <sheetView showGridLines="0" workbookViewId="0">
      <selection activeCell="B19" sqref="B19"/>
    </sheetView>
  </sheetViews>
  <sheetFormatPr baseColWidth="10" defaultRowHeight="14.5" x14ac:dyDescent="0.35"/>
  <cols>
    <col min="2" max="2" width="57.26953125" bestFit="1" customWidth="1"/>
    <col min="3" max="3" width="3" customWidth="1"/>
    <col min="4" max="4" width="15.81640625" bestFit="1" customWidth="1"/>
  </cols>
  <sheetData>
    <row r="3" spans="2:4" x14ac:dyDescent="0.35">
      <c r="B3" s="368" t="s">
        <v>870</v>
      </c>
      <c r="C3" s="368"/>
      <c r="D3" s="368" t="s">
        <v>869</v>
      </c>
    </row>
    <row r="4" spans="2:4" x14ac:dyDescent="0.35">
      <c r="B4" s="274" t="s">
        <v>859</v>
      </c>
      <c r="C4" s="272"/>
      <c r="D4" s="273">
        <v>26000000</v>
      </c>
    </row>
    <row r="5" spans="2:4" x14ac:dyDescent="0.35">
      <c r="B5" s="274" t="s">
        <v>860</v>
      </c>
      <c r="C5" s="272"/>
      <c r="D5" s="273">
        <v>11000000</v>
      </c>
    </row>
    <row r="6" spans="2:4" x14ac:dyDescent="0.35">
      <c r="B6" s="360" t="s">
        <v>866</v>
      </c>
      <c r="C6" s="361"/>
      <c r="D6" s="362">
        <f>SUM(D4:D5)</f>
        <v>37000000</v>
      </c>
    </row>
    <row r="7" spans="2:4" hidden="1" x14ac:dyDescent="0.35">
      <c r="B7" s="272" t="s">
        <v>862</v>
      </c>
      <c r="C7" s="272"/>
      <c r="D7" s="273">
        <f>+'PRIVADO COMPLETO'!B52</f>
        <v>346872988</v>
      </c>
    </row>
    <row r="8" spans="2:4" x14ac:dyDescent="0.35">
      <c r="B8" s="272" t="s">
        <v>861</v>
      </c>
      <c r="C8" s="272"/>
      <c r="D8" s="273">
        <f>+D7*4.2%</f>
        <v>14568665.496000001</v>
      </c>
    </row>
    <row r="9" spans="2:4" x14ac:dyDescent="0.35">
      <c r="B9" s="360" t="s">
        <v>871</v>
      </c>
      <c r="C9" s="361"/>
      <c r="D9" s="363">
        <f>+D6+D8</f>
        <v>51568665.495999999</v>
      </c>
    </row>
    <row r="11" spans="2:4" x14ac:dyDescent="0.35">
      <c r="B11" s="274" t="s">
        <v>835</v>
      </c>
      <c r="C11" s="274"/>
      <c r="D11" s="273">
        <f>+'PRIVADO COMPLETO'!O52</f>
        <v>400939409.48199999</v>
      </c>
    </row>
    <row r="12" spans="2:4" x14ac:dyDescent="0.35">
      <c r="B12" s="274" t="s">
        <v>864</v>
      </c>
      <c r="C12" s="274"/>
      <c r="D12" s="273">
        <f>+D9</f>
        <v>51568665.495999999</v>
      </c>
    </row>
    <row r="13" spans="2:4" x14ac:dyDescent="0.35">
      <c r="B13" s="364" t="s">
        <v>865</v>
      </c>
      <c r="C13" s="365"/>
      <c r="D13" s="363">
        <f>+D11-D12</f>
        <v>349370743.986</v>
      </c>
    </row>
    <row r="14" spans="2:4" s="348" customFormat="1" x14ac:dyDescent="0.35">
      <c r="B14" s="346"/>
      <c r="C14" s="346"/>
      <c r="D14" s="347"/>
    </row>
    <row r="15" spans="2:4" x14ac:dyDescent="0.35">
      <c r="B15" s="274" t="s">
        <v>867</v>
      </c>
      <c r="C15" s="274"/>
      <c r="D15" s="273">
        <f>+'PRIVADO COMPLETO'!B52</f>
        <v>346872988</v>
      </c>
    </row>
    <row r="16" spans="2:4" x14ac:dyDescent="0.35">
      <c r="B16" s="274" t="str">
        <f>+B13</f>
        <v>Total presupuesto sin actividades nuevas</v>
      </c>
      <c r="C16" s="279"/>
      <c r="D16" s="273">
        <f>+D13</f>
        <v>349370743.986</v>
      </c>
    </row>
    <row r="17" spans="2:4" x14ac:dyDescent="0.35">
      <c r="B17" s="364" t="s">
        <v>868</v>
      </c>
      <c r="C17" s="366"/>
      <c r="D17" s="367">
        <f>+(D16-D15)/D15</f>
        <v>7.2007797447750568E-3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T16"/>
  <sheetViews>
    <sheetView workbookViewId="0">
      <selection activeCell="H20" sqref="H20"/>
    </sheetView>
  </sheetViews>
  <sheetFormatPr baseColWidth="10" defaultRowHeight="14.5" x14ac:dyDescent="0.35"/>
  <cols>
    <col min="1" max="1" width="4.7265625" customWidth="1"/>
    <col min="2" max="2" width="17.54296875" customWidth="1"/>
    <col min="3" max="3" width="10.453125" bestFit="1" customWidth="1"/>
    <col min="4" max="4" width="6.1796875" bestFit="1" customWidth="1"/>
    <col min="5" max="6" width="10.453125" bestFit="1" customWidth="1"/>
    <col min="7" max="7" width="6.1796875" bestFit="1" customWidth="1"/>
    <col min="8" max="9" width="10.453125" bestFit="1" customWidth="1"/>
    <col min="10" max="10" width="6.1796875" bestFit="1" customWidth="1"/>
    <col min="11" max="12" width="10.453125" bestFit="1" customWidth="1"/>
    <col min="13" max="13" width="7.1796875" bestFit="1" customWidth="1"/>
    <col min="14" max="14" width="10.453125" bestFit="1" customWidth="1"/>
    <col min="15" max="15" width="10.453125" hidden="1" customWidth="1"/>
    <col min="16" max="16" width="6" hidden="1" customWidth="1"/>
    <col min="17" max="17" width="10.453125" hidden="1" customWidth="1"/>
    <col min="18" max="18" width="10.453125" bestFit="1" customWidth="1"/>
    <col min="19" max="19" width="6.1796875" bestFit="1" customWidth="1"/>
    <col min="20" max="20" width="10.453125" bestFit="1" customWidth="1"/>
  </cols>
  <sheetData>
    <row r="2" spans="2:20" ht="18.5" x14ac:dyDescent="0.45">
      <c r="B2" s="424" t="s">
        <v>583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</row>
    <row r="4" spans="2:20" x14ac:dyDescent="0.35">
      <c r="C4" s="425" t="s">
        <v>578</v>
      </c>
      <c r="D4" s="425"/>
      <c r="E4" s="425"/>
      <c r="F4" s="425" t="s">
        <v>579</v>
      </c>
      <c r="G4" s="425"/>
      <c r="H4" s="425"/>
      <c r="I4" s="426" t="s">
        <v>580</v>
      </c>
      <c r="J4" s="427"/>
      <c r="K4" s="428"/>
      <c r="L4" s="425" t="s">
        <v>582</v>
      </c>
      <c r="M4" s="425"/>
      <c r="N4" s="425"/>
      <c r="O4" s="425" t="s">
        <v>584</v>
      </c>
      <c r="P4" s="425"/>
      <c r="Q4" s="425"/>
      <c r="R4" s="425" t="s">
        <v>585</v>
      </c>
      <c r="S4" s="425"/>
      <c r="T4" s="425"/>
    </row>
    <row r="5" spans="2:20" x14ac:dyDescent="0.35">
      <c r="C5" s="281">
        <v>2016</v>
      </c>
      <c r="D5" s="281" t="s">
        <v>418</v>
      </c>
      <c r="E5" s="281">
        <v>2017</v>
      </c>
      <c r="F5" s="281">
        <v>2016</v>
      </c>
      <c r="G5" s="281" t="s">
        <v>418</v>
      </c>
      <c r="H5" s="281">
        <v>2017</v>
      </c>
      <c r="I5" s="281">
        <v>2016</v>
      </c>
      <c r="J5" s="281" t="s">
        <v>418</v>
      </c>
      <c r="K5" s="281">
        <v>2017</v>
      </c>
      <c r="L5" s="281">
        <v>2016</v>
      </c>
      <c r="M5" s="281" t="s">
        <v>418</v>
      </c>
      <c r="N5" s="281">
        <v>2017</v>
      </c>
      <c r="O5" s="281">
        <v>2016</v>
      </c>
      <c r="P5" s="281" t="s">
        <v>418</v>
      </c>
      <c r="Q5" s="281">
        <v>2017</v>
      </c>
      <c r="R5" s="281">
        <v>2016</v>
      </c>
      <c r="S5" s="281" t="s">
        <v>418</v>
      </c>
      <c r="T5" s="281">
        <v>2017</v>
      </c>
    </row>
    <row r="6" spans="2:20" x14ac:dyDescent="0.35">
      <c r="B6" s="279" t="s">
        <v>571</v>
      </c>
      <c r="C6" s="275">
        <v>100000</v>
      </c>
      <c r="D6" s="276">
        <v>-0.15</v>
      </c>
      <c r="E6" s="277">
        <f>(+C6*D6)+C6</f>
        <v>85000</v>
      </c>
      <c r="F6" s="275">
        <v>100000</v>
      </c>
      <c r="G6" s="286">
        <v>0</v>
      </c>
      <c r="H6" s="277">
        <f>(+F6*G6)+F6</f>
        <v>100000</v>
      </c>
      <c r="I6" s="275">
        <v>100000</v>
      </c>
      <c r="J6" s="286">
        <v>0.03</v>
      </c>
      <c r="K6" s="277">
        <f>(+I6*J6)+I6</f>
        <v>103000</v>
      </c>
      <c r="L6" s="275">
        <v>100000</v>
      </c>
      <c r="M6" s="286">
        <v>0.11</v>
      </c>
      <c r="N6" s="277">
        <f>(+L6*M6)+L6</f>
        <v>111000</v>
      </c>
      <c r="O6" s="275">
        <v>100000</v>
      </c>
      <c r="P6" s="279"/>
      <c r="Q6" s="279"/>
      <c r="R6" s="275">
        <v>100000</v>
      </c>
      <c r="S6" s="286">
        <v>-0.13</v>
      </c>
      <c r="T6" s="277">
        <f>(+R6*S6)+R6</f>
        <v>87000</v>
      </c>
    </row>
    <row r="7" spans="2:20" x14ac:dyDescent="0.35">
      <c r="B7" s="279" t="s">
        <v>572</v>
      </c>
      <c r="C7" s="275">
        <v>600000</v>
      </c>
      <c r="D7" s="278">
        <v>0.08</v>
      </c>
      <c r="E7" s="277">
        <f t="shared" ref="E7:E12" si="0">(+C7*D7)+C7</f>
        <v>648000</v>
      </c>
      <c r="F7" s="275">
        <v>600000</v>
      </c>
      <c r="G7" s="286">
        <v>7.0000000000000007E-2</v>
      </c>
      <c r="H7" s="277">
        <f t="shared" ref="H7:H12" si="1">(+F7*G7)+F7</f>
        <v>642000</v>
      </c>
      <c r="I7" s="275">
        <v>600000</v>
      </c>
      <c r="J7" s="286">
        <v>7.0000000000000007E-2</v>
      </c>
      <c r="K7" s="277">
        <f t="shared" ref="K7:K12" si="2">(+I7*J7)+I7</f>
        <v>642000</v>
      </c>
      <c r="L7" s="275">
        <v>600000</v>
      </c>
      <c r="M7" s="286">
        <v>0.11</v>
      </c>
      <c r="N7" s="277">
        <f t="shared" ref="N7:N12" si="3">(+L7*M7)+L7</f>
        <v>666000</v>
      </c>
      <c r="O7" s="275">
        <v>600000</v>
      </c>
      <c r="P7" s="279"/>
      <c r="Q7" s="279"/>
      <c r="R7" s="275">
        <v>600000</v>
      </c>
      <c r="S7" s="286">
        <v>0.11</v>
      </c>
      <c r="T7" s="277">
        <f t="shared" ref="T7:T12" si="4">(+R7*S7)+R7</f>
        <v>666000</v>
      </c>
    </row>
    <row r="8" spans="2:20" x14ac:dyDescent="0.35">
      <c r="B8" s="279" t="s">
        <v>573</v>
      </c>
      <c r="C8" s="275">
        <v>20000</v>
      </c>
      <c r="D8" s="278">
        <v>7.4999999999999997E-2</v>
      </c>
      <c r="E8" s="277">
        <f t="shared" si="0"/>
        <v>21500</v>
      </c>
      <c r="F8" s="275">
        <v>20000</v>
      </c>
      <c r="G8" s="286">
        <v>7.0000000000000007E-2</v>
      </c>
      <c r="H8" s="277">
        <f t="shared" si="1"/>
        <v>21400</v>
      </c>
      <c r="I8" s="275">
        <v>20000</v>
      </c>
      <c r="J8" s="286">
        <v>7.0000000000000007E-2</v>
      </c>
      <c r="K8" s="277">
        <f t="shared" si="2"/>
        <v>21400</v>
      </c>
      <c r="L8" s="275">
        <v>20000</v>
      </c>
      <c r="M8" s="286">
        <v>0.11</v>
      </c>
      <c r="N8" s="277">
        <f t="shared" si="3"/>
        <v>22200</v>
      </c>
      <c r="O8" s="275">
        <v>20000</v>
      </c>
      <c r="P8" s="279"/>
      <c r="Q8" s="279"/>
      <c r="R8" s="275">
        <v>20000</v>
      </c>
      <c r="S8" s="286">
        <v>0.11</v>
      </c>
      <c r="T8" s="277">
        <f t="shared" si="4"/>
        <v>22200</v>
      </c>
    </row>
    <row r="9" spans="2:20" x14ac:dyDescent="0.35">
      <c r="B9" s="279" t="s">
        <v>574</v>
      </c>
      <c r="C9" s="275">
        <v>20000</v>
      </c>
      <c r="D9" s="278">
        <v>7.4999999999999997E-2</v>
      </c>
      <c r="E9" s="277">
        <f t="shared" si="0"/>
        <v>21500</v>
      </c>
      <c r="F9" s="275">
        <v>20000</v>
      </c>
      <c r="G9" s="286">
        <v>7.0000000000000007E-2</v>
      </c>
      <c r="H9" s="277">
        <f t="shared" si="1"/>
        <v>21400</v>
      </c>
      <c r="I9" s="275">
        <v>20000</v>
      </c>
      <c r="J9" s="286">
        <v>7.0000000000000007E-2</v>
      </c>
      <c r="K9" s="277">
        <f t="shared" si="2"/>
        <v>21400</v>
      </c>
      <c r="L9" s="275">
        <v>20000</v>
      </c>
      <c r="M9" s="286">
        <v>0.11</v>
      </c>
      <c r="N9" s="277">
        <f t="shared" si="3"/>
        <v>22200</v>
      </c>
      <c r="O9" s="275">
        <v>20000</v>
      </c>
      <c r="P9" s="279"/>
      <c r="Q9" s="279"/>
      <c r="R9" s="275">
        <v>20000</v>
      </c>
      <c r="S9" s="286">
        <v>0.11</v>
      </c>
      <c r="T9" s="277">
        <f t="shared" si="4"/>
        <v>22200</v>
      </c>
    </row>
    <row r="10" spans="2:20" x14ac:dyDescent="0.35">
      <c r="B10" s="279" t="s">
        <v>575</v>
      </c>
      <c r="C10" s="275">
        <v>30000</v>
      </c>
      <c r="D10" s="278">
        <v>7.4999999999999997E-2</v>
      </c>
      <c r="E10" s="277">
        <f t="shared" si="0"/>
        <v>32250</v>
      </c>
      <c r="F10" s="275">
        <v>30000</v>
      </c>
      <c r="G10" s="286">
        <v>7.0000000000000007E-2</v>
      </c>
      <c r="H10" s="277">
        <f t="shared" si="1"/>
        <v>32100</v>
      </c>
      <c r="I10" s="275">
        <v>30000</v>
      </c>
      <c r="J10" s="286">
        <v>7.0000000000000007E-2</v>
      </c>
      <c r="K10" s="277">
        <f t="shared" si="2"/>
        <v>32100</v>
      </c>
      <c r="L10" s="275">
        <v>30000</v>
      </c>
      <c r="M10" s="286">
        <v>0.11</v>
      </c>
      <c r="N10" s="277">
        <f t="shared" si="3"/>
        <v>33300</v>
      </c>
      <c r="O10" s="275">
        <v>30000</v>
      </c>
      <c r="P10" s="279"/>
      <c r="Q10" s="279"/>
      <c r="R10" s="275">
        <v>30000</v>
      </c>
      <c r="S10" s="286">
        <v>0.11</v>
      </c>
      <c r="T10" s="277">
        <f t="shared" si="4"/>
        <v>33300</v>
      </c>
    </row>
    <row r="11" spans="2:20" x14ac:dyDescent="0.35">
      <c r="B11" s="279" t="s">
        <v>576</v>
      </c>
      <c r="C11" s="275">
        <v>20000</v>
      </c>
      <c r="D11" s="278">
        <v>6.6000000000000003E-2</v>
      </c>
      <c r="E11" s="277">
        <f t="shared" si="0"/>
        <v>21320</v>
      </c>
      <c r="F11" s="275">
        <v>20000</v>
      </c>
      <c r="G11" s="286">
        <v>7.0000000000000007E-2</v>
      </c>
      <c r="H11" s="277">
        <f t="shared" si="1"/>
        <v>21400</v>
      </c>
      <c r="I11" s="275">
        <v>20000</v>
      </c>
      <c r="J11" s="286">
        <v>7.0000000000000007E-2</v>
      </c>
      <c r="K11" s="277">
        <f t="shared" si="2"/>
        <v>21400</v>
      </c>
      <c r="L11" s="275">
        <v>20000</v>
      </c>
      <c r="M11" s="286">
        <v>0.11</v>
      </c>
      <c r="N11" s="277">
        <f t="shared" si="3"/>
        <v>22200</v>
      </c>
      <c r="O11" s="275">
        <v>20000</v>
      </c>
      <c r="P11" s="279"/>
      <c r="Q11" s="279"/>
      <c r="R11" s="275">
        <v>20000</v>
      </c>
      <c r="S11" s="286">
        <v>0.11</v>
      </c>
      <c r="T11" s="277">
        <f t="shared" si="4"/>
        <v>22200</v>
      </c>
    </row>
    <row r="12" spans="2:20" x14ac:dyDescent="0.35">
      <c r="B12" s="279" t="s">
        <v>577</v>
      </c>
      <c r="C12" s="275">
        <v>40000</v>
      </c>
      <c r="D12" s="278">
        <v>0.08</v>
      </c>
      <c r="E12" s="277">
        <f t="shared" si="0"/>
        <v>43200</v>
      </c>
      <c r="F12" s="275">
        <v>40000</v>
      </c>
      <c r="G12" s="286">
        <v>7.0000000000000007E-2</v>
      </c>
      <c r="H12" s="277">
        <f t="shared" si="1"/>
        <v>42800</v>
      </c>
      <c r="I12" s="275">
        <v>40000</v>
      </c>
      <c r="J12" s="286">
        <v>7.0000000000000007E-2</v>
      </c>
      <c r="K12" s="277">
        <f t="shared" si="2"/>
        <v>42800</v>
      </c>
      <c r="L12" s="275">
        <v>40000</v>
      </c>
      <c r="M12" s="286">
        <v>0.11</v>
      </c>
      <c r="N12" s="277">
        <f t="shared" si="3"/>
        <v>44400</v>
      </c>
      <c r="O12" s="275">
        <v>40000</v>
      </c>
      <c r="P12" s="279"/>
      <c r="Q12" s="279"/>
      <c r="R12" s="275">
        <v>40000</v>
      </c>
      <c r="S12" s="286">
        <v>0.11</v>
      </c>
      <c r="T12" s="277">
        <f t="shared" si="4"/>
        <v>44400</v>
      </c>
    </row>
    <row r="13" spans="2:20" x14ac:dyDescent="0.35">
      <c r="B13" s="282" t="s">
        <v>4</v>
      </c>
      <c r="C13" s="283">
        <f>SUM(C6:C12)</f>
        <v>830000</v>
      </c>
      <c r="D13" s="284">
        <f>+(E13-C13)/C13</f>
        <v>5.1530120481927712E-2</v>
      </c>
      <c r="E13" s="285">
        <f>SUM(E6:E12)</f>
        <v>872770</v>
      </c>
      <c r="F13" s="283">
        <f>SUM(F6:F12)</f>
        <v>830000</v>
      </c>
      <c r="G13" s="284">
        <f>+(H13-F13)/F13</f>
        <v>6.1566265060240967E-2</v>
      </c>
      <c r="H13" s="283">
        <f>SUM(H6:H12)</f>
        <v>881100</v>
      </c>
      <c r="I13" s="283">
        <f>SUM(I6:I12)</f>
        <v>830000</v>
      </c>
      <c r="J13" s="284">
        <f>+(K13-I13)/I13</f>
        <v>6.5180722891566262E-2</v>
      </c>
      <c r="K13" s="283">
        <f>SUM(K6:K12)</f>
        <v>884100</v>
      </c>
      <c r="L13" s="283">
        <f>SUM(L6:L12)</f>
        <v>830000</v>
      </c>
      <c r="M13" s="284">
        <f>+(N13-L13)/L13</f>
        <v>0.11</v>
      </c>
      <c r="N13" s="283">
        <f>SUM(N6:N12)</f>
        <v>921300</v>
      </c>
      <c r="O13" s="283">
        <f>SUM(O6:O12)</f>
        <v>830000</v>
      </c>
      <c r="P13" s="284"/>
      <c r="Q13" s="283">
        <f>SUM(Q6:Q12)</f>
        <v>0</v>
      </c>
      <c r="R13" s="283">
        <f>SUM(R6:R12)</f>
        <v>830000</v>
      </c>
      <c r="S13" s="284">
        <f>+(T13-R13)/R13</f>
        <v>8.1084337349397587E-2</v>
      </c>
      <c r="T13" s="283">
        <f>SUM(T6:T12)</f>
        <v>897300</v>
      </c>
    </row>
    <row r="15" spans="2:20" x14ac:dyDescent="0.35">
      <c r="B15" s="289" t="s">
        <v>581</v>
      </c>
      <c r="C15" s="287">
        <v>0.06</v>
      </c>
      <c r="F15" s="288">
        <v>5.6000000000000001E-2</v>
      </c>
      <c r="I15" s="287">
        <v>7.0000000000000007E-2</v>
      </c>
      <c r="L15" s="287">
        <v>7.0000000000000007E-2</v>
      </c>
      <c r="O15" s="280"/>
      <c r="R15" s="287">
        <v>7.0000000000000007E-2</v>
      </c>
    </row>
    <row r="16" spans="2:20" x14ac:dyDescent="0.35">
      <c r="B16" s="289" t="s">
        <v>586</v>
      </c>
      <c r="C16" s="287">
        <v>7.0000000000000007E-2</v>
      </c>
      <c r="F16" s="287">
        <v>7.0000000000000007E-2</v>
      </c>
      <c r="I16" s="287">
        <v>7.0000000000000007E-2</v>
      </c>
      <c r="L16" s="287">
        <v>7.0000000000000007E-2</v>
      </c>
      <c r="O16" s="288">
        <v>6.5000000000000002E-2</v>
      </c>
      <c r="R16" s="287">
        <v>7.0000000000000007E-2</v>
      </c>
    </row>
  </sheetData>
  <mergeCells count="7">
    <mergeCell ref="B2:Q2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ignoredErrors>
    <ignoredError sqref="C13 F13 I13 L13 O13 Q13:R13" formulaRange="1"/>
    <ignoredError sqref="G13 D13 J13 S13" formula="1"/>
    <ignoredError sqref="M1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PUBLICO COMPLETO</vt:lpstr>
      <vt:lpstr>PRIVADO COMPLETO</vt:lpstr>
      <vt:lpstr>CTAS MAYORES PUBLICO</vt:lpstr>
      <vt:lpstr>CTAS MAYORES PRIVADO PRIVADO</vt:lpstr>
      <vt:lpstr>RESUMIDO PUBLICO</vt:lpstr>
      <vt:lpstr>RESUMIDO PRIVADO</vt:lpstr>
      <vt:lpstr>RESUMIDO PUBLICO COMPARADO</vt:lpstr>
      <vt:lpstr>RESUMIDO PRIVADO COMPARADO</vt:lpstr>
      <vt:lpstr>RESUMEN GENERAL</vt:lpstr>
      <vt:lpstr>CAMBIO</vt:lpstr>
      <vt:lpstr>FLUJO PY 2017</vt:lpstr>
      <vt:lpstr>EJEC PY 2017</vt:lpstr>
      <vt:lpstr>FLJO 2018</vt:lpstr>
      <vt:lpstr>CUENTAS</vt:lpstr>
      <vt:lpstr>INVERSIONES</vt:lpstr>
      <vt:lpstr>C.INV</vt:lpstr>
      <vt:lpstr>GASTOS 2017</vt:lpstr>
      <vt:lpstr>CAMARAS</vt:lpstr>
      <vt:lpstr>'PRIVADO COMPLETO'!Títulos_a_imprimir</vt:lpstr>
      <vt:lpstr>'PUBLICO COMPLETO'!Títulos_a_imprimir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contable</dc:creator>
  <cp:lastModifiedBy>SSQ</cp:lastModifiedBy>
  <cp:lastPrinted>2018-01-23T18:40:26Z</cp:lastPrinted>
  <dcterms:created xsi:type="dcterms:W3CDTF">2010-11-23T21:45:11Z</dcterms:created>
  <dcterms:modified xsi:type="dcterms:W3CDTF">2022-09-15T15:29:20Z</dcterms:modified>
</cp:coreProperties>
</file>