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65426" yWindow="65426" windowWidth="19420" windowHeight="10560" activeTab="0"/>
  </bookViews>
  <sheets>
    <sheet name="PUBLICO COMPLETO" sheetId="1" r:id="rId1"/>
    <sheet name="PRIVADO COMPLETO" sheetId="2" r:id="rId2"/>
    <sheet name="CTAS MAYORES PUBLICO" sheetId="6" r:id="rId3"/>
    <sheet name="CTAS MAYORES PRIVADO PRIVADO" sheetId="7" r:id="rId4"/>
    <sheet name="RESUMIDO PUBLICO" sheetId="10" r:id="rId5"/>
    <sheet name="RESUMIDO PRIVADO" sheetId="12" r:id="rId6"/>
    <sheet name="RESUMIDO PUBLICO COMPARADO" sheetId="14" r:id="rId7"/>
    <sheet name="RESUMIDO PRIVADO COMPARADO" sheetId="15" r:id="rId8"/>
    <sheet name="RESUMEN GENERAL" sheetId="16" r:id="rId9"/>
    <sheet name="FLUJO 2016" sheetId="23" r:id="rId10"/>
    <sheet name="EJECUCION 2016" sheetId="24" r:id="rId11"/>
    <sheet name="FLUJO 2017" sheetId="18" r:id="rId12"/>
    <sheet name="COMPARATIVO" sheetId="19" r:id="rId13"/>
    <sheet name="CUENTAS" sheetId="20" r:id="rId14"/>
    <sheet name="INVERSIONES" sheetId="21" r:id="rId15"/>
    <sheet name="C.INV" sheetId="25" r:id="rId16"/>
    <sheet name="GASTOS 2017" sheetId="26" r:id="rId17"/>
    <sheet name="Hoja1" sheetId="27" r:id="rId18"/>
    <sheet name="CAMARAS" sheetId="28" r:id="rId19"/>
  </sheets>
  <externalReferences>
    <externalReference r:id="rId22"/>
    <externalReference r:id="rId23"/>
    <externalReference r:id="rId24"/>
  </externalReferences>
  <definedNames>
    <definedName name="_xlnm.Print_Titles" localSheetId="0">'PUBLICO COMPLETO'!$5:$5</definedName>
    <definedName name="_xlnm.Print_Titles" localSheetId="1">'PRIVADO COMPLETO'!$5:$6</definedName>
  </definedNames>
  <calcPr calcId="181029"/>
  <extLst/>
</workbook>
</file>

<file path=xl/comments1.xml><?xml version="1.0" encoding="utf-8"?>
<comments xmlns="http://schemas.openxmlformats.org/spreadsheetml/2006/main">
  <authors>
    <author>Presidencia</author>
    <author>Camara de Comercio</author>
    <author>Cartago</author>
    <author>Usuario</author>
    <author>Camara de Comercio de Cartago</author>
    <author>Comunicaciones</author>
    <author>administracion</author>
  </authors>
  <commentList>
    <comment ref="C55" authorId="0">
      <text>
        <r>
          <rPr>
            <b/>
            <sz val="9"/>
            <rFont val="Tahoma"/>
            <family val="2"/>
          </rPr>
          <t xml:space="preserve">Convenio Alcaldia Cartago para Formalizacion 2017 </t>
        </r>
        <r>
          <rPr>
            <sz val="9"/>
            <rFont val="Tahoma"/>
            <family val="2"/>
          </rPr>
          <t xml:space="preserve">
</t>
        </r>
      </text>
    </comment>
    <comment ref="D55" authorId="0">
      <text>
        <r>
          <rPr>
            <b/>
            <sz val="9"/>
            <rFont val="Tahoma"/>
            <family val="2"/>
          </rPr>
          <t xml:space="preserve">Convenio Alcaldia Cartago para Formalizacion 2017 </t>
        </r>
        <r>
          <rPr>
            <sz val="9"/>
            <rFont val="Tahoma"/>
            <family val="2"/>
          </rPr>
          <t xml:space="preserve">
</t>
        </r>
      </text>
    </comment>
    <comment ref="E55" authorId="0">
      <text>
        <r>
          <rPr>
            <b/>
            <sz val="9"/>
            <rFont val="Tahoma"/>
            <family val="2"/>
          </rPr>
          <t xml:space="preserve">Convenio Alcaldia Cartago para Formalizacion 2017 </t>
        </r>
        <r>
          <rPr>
            <sz val="9"/>
            <rFont val="Tahoma"/>
            <family val="2"/>
          </rPr>
          <t xml:space="preserve">
</t>
        </r>
      </text>
    </comment>
    <comment ref="F55" authorId="0">
      <text>
        <r>
          <rPr>
            <b/>
            <sz val="9"/>
            <rFont val="Tahoma"/>
            <family val="2"/>
          </rPr>
          <t>Convenio Alcaldia Municipio para Formalizacion 2017</t>
        </r>
        <r>
          <rPr>
            <sz val="9"/>
            <rFont val="Tahoma"/>
            <family val="2"/>
          </rPr>
          <t xml:space="preserve">
</t>
        </r>
      </text>
    </comment>
    <comment ref="H55" authorId="0">
      <text>
        <r>
          <rPr>
            <b/>
            <sz val="9"/>
            <rFont val="Tahoma"/>
            <family val="2"/>
          </rPr>
          <t>Convenio Alcaldia para Formalizacion 2017</t>
        </r>
        <r>
          <rPr>
            <sz val="9"/>
            <rFont val="Tahoma"/>
            <family val="2"/>
          </rPr>
          <t xml:space="preserve">
</t>
        </r>
      </text>
    </comment>
    <comment ref="H70" authorId="0">
      <text>
        <r>
          <rPr>
            <sz val="9"/>
            <rFont val="Tahoma"/>
            <family val="2"/>
          </rPr>
          <t xml:space="preserve">Cumplimiento de metas Presidenta Ejecutiva, Director Administrativo y financiero, Directora Juridica, Directora de Competitividad
</t>
        </r>
        <r>
          <rPr>
            <sz val="9"/>
            <rFont val="Tahoma"/>
            <family val="2"/>
          </rPr>
          <t xml:space="preserve">
</t>
        </r>
      </text>
    </comment>
    <comment ref="N70" authorId="0">
      <text>
        <r>
          <rPr>
            <sz val="9"/>
            <rFont val="Tahoma"/>
            <family val="2"/>
          </rPr>
          <t xml:space="preserve">Cumplimiento de metas Presidenta Ejecutiva, Director Administrativo y financiero, Directora Juridica, Directora de Competitividad.
Incentivo para todo el personal fin de año
</t>
        </r>
        <r>
          <rPr>
            <sz val="9"/>
            <rFont val="Tahoma"/>
            <family val="2"/>
          </rPr>
          <t xml:space="preserve">
</t>
        </r>
      </text>
    </comment>
    <comment ref="C71" authorId="1">
      <text>
        <r>
          <rPr>
            <sz val="9"/>
            <rFont val="Tahoma"/>
            <family val="2"/>
          </rPr>
          <t>Dotacion Elementos de seguridad para archivo
• Overoles o batas (preferiblemente con cierre de cremallera y puño ajustado). $100.000
• Tapabocas o respiradores desechables. 
• Gorros desechables.
• Guantes desechables (de látex o de nitrilo).
• Gafas protectoras plásticas transparentes.
• Jabón antibacterial líquido.
• Suero fisiológico.
• Gel antibacterial.</t>
        </r>
        <r>
          <rPr>
            <b/>
            <sz val="9"/>
            <rFont val="Tahoma"/>
            <family val="2"/>
          </rPr>
          <t xml:space="preserve">
</t>
        </r>
      </text>
    </comment>
    <comment ref="C72" authorId="2">
      <text>
        <r>
          <rPr>
            <sz val="9"/>
            <rFont val="Tahoma"/>
            <family val="2"/>
          </rPr>
          <t>Capacitacion en control Interno
(Auditorias basadas en Riesgos o Normas Internacionales aseguramiento de las NIIF)</t>
        </r>
      </text>
    </comment>
    <comment ref="D72" authorId="0">
      <text>
        <r>
          <rPr>
            <b/>
            <sz val="9"/>
            <rFont val="Tahoma"/>
            <family val="2"/>
          </rPr>
          <t>Gladiadores 2</t>
        </r>
        <r>
          <rPr>
            <sz val="9"/>
            <rFont val="Tahoma"/>
            <family val="2"/>
          </rPr>
          <t xml:space="preserve">
Capacitacion habitos alimenticios 1.000.000</t>
        </r>
      </text>
    </comment>
    <comment ref="E72" authorId="0">
      <text>
        <r>
          <rPr>
            <b/>
            <sz val="9"/>
            <rFont val="Tahoma"/>
            <family val="2"/>
          </rPr>
          <t>Ventas
:</t>
        </r>
        <r>
          <rPr>
            <sz val="9"/>
            <rFont val="Tahoma"/>
            <family val="2"/>
          </rPr>
          <t xml:space="preserve">
</t>
        </r>
      </text>
    </comment>
    <comment ref="F72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Actualizacion Auditores en iso 9001 : 2015
Lista Auditores Internos:
CARLOS ANDRES RENDON
NANCY VIVIANA JARAMILLO
LUZ MARINA ROJAS BEDOYA
LINA (DIR JURIDICA) </t>
        </r>
      </text>
    </comment>
    <comment ref="G72" authorId="3">
      <text>
        <r>
          <rPr>
            <sz val="9"/>
            <rFont val="Tahoma"/>
            <family val="2"/>
          </rPr>
          <t>Actualizacion ISO 9001 2015 - Personal Cámara de CCio</t>
        </r>
      </text>
    </comment>
    <comment ref="I72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liderazgo</t>
        </r>
      </text>
    </comment>
    <comment ref="M72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Gladiadores 3</t>
        </r>
      </text>
    </comment>
    <comment ref="B79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Incluye las personas que estuvieron por Adecco: Juan David Vallejo, Lina Maria Gaviria, Daniela Monsalve, Maria Fernanda Tejada
</t>
        </r>
      </text>
    </comment>
    <comment ref="C79" authorId="0">
      <text>
        <r>
          <rPr>
            <b/>
            <sz val="9"/>
            <rFont val="Tahoma"/>
            <family val="2"/>
          </rPr>
          <t xml:space="preserve">Temporal jornada de renovacion
</t>
        </r>
        <r>
          <rPr>
            <sz val="9"/>
            <rFont val="Tahoma"/>
            <family val="2"/>
          </rPr>
          <t xml:space="preserve">
</t>
        </r>
      </text>
    </comment>
    <comment ref="D79" authorId="0">
      <text>
        <r>
          <rPr>
            <b/>
            <sz val="9"/>
            <rFont val="Tahoma"/>
            <family val="2"/>
          </rPr>
          <t xml:space="preserve">Temporal jornada de renovacion
</t>
        </r>
        <r>
          <rPr>
            <sz val="9"/>
            <rFont val="Tahoma"/>
            <family val="2"/>
          </rPr>
          <t xml:space="preserve">
</t>
        </r>
      </text>
    </comment>
    <comment ref="E79" authorId="0">
      <text>
        <r>
          <rPr>
            <b/>
            <sz val="9"/>
            <rFont val="Tahoma"/>
            <family val="2"/>
          </rPr>
          <t xml:space="preserve">Temporal jornada de renovacion
</t>
        </r>
        <r>
          <rPr>
            <sz val="9"/>
            <rFont val="Tahoma"/>
            <family val="2"/>
          </rPr>
          <t xml:space="preserve">
</t>
        </r>
      </text>
    </comment>
    <comment ref="E90" authorId="4">
      <text>
        <r>
          <rPr>
            <b/>
            <sz val="9"/>
            <rFont val="Tahoma"/>
            <family val="2"/>
          </rPr>
          <t>Casación proceso laboral - COTE RUIZ REINALDO GUILLERMO</t>
        </r>
      </text>
    </comment>
    <comment ref="D92" authorId="3">
      <text>
        <r>
          <rPr>
            <sz val="9"/>
            <rFont val="Tahoma"/>
            <family val="2"/>
          </rPr>
          <t>Servicio de cliente incognito para los procesos que atienden clientes.</t>
        </r>
      </text>
    </comment>
    <comment ref="F94" authorId="0">
      <text>
        <r>
          <rPr>
            <b/>
            <sz val="9"/>
            <rFont val="Tahoma"/>
            <family val="2"/>
          </rPr>
          <t xml:space="preserve">Honorarios asesorias turismo
</t>
        </r>
        <r>
          <rPr>
            <sz val="9"/>
            <rFont val="Tahoma"/>
            <family val="2"/>
          </rPr>
          <t xml:space="preserve">
</t>
        </r>
      </text>
    </comment>
    <comment ref="I94" authorId="0">
      <text>
        <r>
          <rPr>
            <b/>
            <sz val="9"/>
            <rFont val="Tahoma"/>
            <family val="2"/>
          </rPr>
          <t xml:space="preserve">Honorarios asesorias turismo
</t>
        </r>
        <r>
          <rPr>
            <sz val="9"/>
            <rFont val="Tahoma"/>
            <family val="2"/>
          </rPr>
          <t xml:space="preserve">
</t>
        </r>
      </text>
    </comment>
    <comment ref="A113" authorId="3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Valor que se incluye en servicios publicos para el plan de accion</t>
        </r>
      </text>
    </comment>
    <comment ref="D135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Aporte rutas conpetitivias
</t>
        </r>
      </text>
    </comment>
    <comment ref="G135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Encuesta pyme</t>
        </r>
      </text>
    </comment>
    <comment ref="B161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Incluye las personas que estuvieron por Adecco: Juan David Vallejo, Lina Maria Gaviria, Daniela Monsalve, Maria Fernanda Tejada
</t>
        </r>
      </text>
    </comment>
    <comment ref="C161" authorId="0">
      <text>
        <r>
          <rPr>
            <b/>
            <sz val="9"/>
            <rFont val="Tahoma"/>
            <family val="2"/>
          </rPr>
          <t xml:space="preserve">Temporal jornada de renovacion
</t>
        </r>
        <r>
          <rPr>
            <sz val="9"/>
            <rFont val="Tahoma"/>
            <family val="2"/>
          </rPr>
          <t xml:space="preserve">
</t>
        </r>
      </text>
    </comment>
    <comment ref="D161" authorId="0">
      <text>
        <r>
          <rPr>
            <b/>
            <sz val="9"/>
            <rFont val="Tahoma"/>
            <family val="2"/>
          </rPr>
          <t xml:space="preserve">Temporal jornada de renovacion
</t>
        </r>
        <r>
          <rPr>
            <sz val="9"/>
            <rFont val="Tahoma"/>
            <family val="2"/>
          </rPr>
          <t xml:space="preserve">
</t>
        </r>
      </text>
    </comment>
    <comment ref="E161" authorId="0">
      <text>
        <r>
          <rPr>
            <b/>
            <sz val="9"/>
            <rFont val="Tahoma"/>
            <family val="2"/>
          </rPr>
          <t xml:space="preserve">Temporal jornada de renovacion
</t>
        </r>
        <r>
          <rPr>
            <sz val="9"/>
            <rFont val="Tahoma"/>
            <family val="2"/>
          </rPr>
          <t xml:space="preserve">
</t>
        </r>
      </text>
    </comment>
    <comment ref="A201" authorId="5">
      <text>
        <r>
          <rPr>
            <b/>
            <sz val="9"/>
            <rFont val="Tahoma"/>
            <family val="2"/>
          </rPr>
          <t>Comunicaciones:</t>
        </r>
        <r>
          <rPr>
            <sz val="9"/>
            <rFont val="Tahoma"/>
            <family val="2"/>
          </rPr>
          <t xml:space="preserve">
6 publireportajes de 1/2x1/2 en policromía: $ 632.000
6 avisos de 1/4 en policromía: $ 229.000. El proveedor da un 20% de descuento</t>
        </r>
      </text>
    </comment>
    <comment ref="A222" authorId="0">
      <text>
        <r>
          <rPr>
            <b/>
            <sz val="9"/>
            <rFont val="Tahoma"/>
            <family val="2"/>
          </rPr>
          <t>Caso éxito innovacion
pequeñas grandes historias (dadika)</t>
        </r>
        <r>
          <rPr>
            <sz val="9"/>
            <rFont val="Tahoma"/>
            <family val="2"/>
          </rPr>
          <t xml:space="preserve">
</t>
        </r>
      </text>
    </comment>
    <comment ref="J223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50 fotos</t>
        </r>
      </text>
    </comment>
    <comment ref="C238" authorId="1">
      <text>
        <r>
          <rPr>
            <b/>
            <sz val="9"/>
            <rFont val="Tahoma"/>
            <family val="2"/>
          </rPr>
          <t>Fumigacion Archivos $250.000
Compra de 2 Termohigrometros para control de temperatura en archivos
$300.000</t>
        </r>
      </text>
    </comment>
    <comment ref="F238" authorId="1">
      <text>
        <r>
          <rPr>
            <b/>
            <sz val="9"/>
            <rFont val="Tahoma"/>
            <family val="2"/>
          </rPr>
          <t>Fumigacion Archivos</t>
        </r>
      </text>
    </comment>
    <comment ref="I238" authorId="1">
      <text>
        <r>
          <rPr>
            <b/>
            <sz val="9"/>
            <rFont val="Tahoma"/>
            <family val="2"/>
          </rPr>
          <t>Fumigacion Archivos</t>
        </r>
      </text>
    </comment>
    <comment ref="L238" authorId="1">
      <text>
        <r>
          <rPr>
            <b/>
            <sz val="9"/>
            <rFont val="Tahoma"/>
            <family val="2"/>
          </rPr>
          <t>Fumigacion Archivos</t>
        </r>
      </text>
    </comment>
    <comment ref="E270" authorId="2">
      <text>
        <r>
          <rPr>
            <sz val="9"/>
            <rFont val="Tahoma"/>
            <family val="2"/>
          </rPr>
          <t>Hospedaje 2 Dias para 2 persona para realizar taller  –  PGD LEXCO CALI</t>
        </r>
      </text>
    </comment>
    <comment ref="G270" authorId="2">
      <text>
        <r>
          <rPr>
            <sz val="9"/>
            <rFont val="Tahoma"/>
            <family val="2"/>
          </rPr>
          <t>Hospedaje 2 Dias para 2 persona para realizar taller  –  PGD LEXCO CALI</t>
        </r>
      </text>
    </comment>
    <comment ref="H270" authorId="2">
      <text>
        <r>
          <rPr>
            <sz val="9"/>
            <rFont val="Tahoma"/>
            <family val="2"/>
          </rPr>
          <t>Hospedaje 2 Dias para 2 persona para realizar taller  –  PGD LEXCO CALI</t>
        </r>
      </text>
    </comment>
    <comment ref="J271" authorId="6">
      <text>
        <r>
          <rPr>
            <b/>
            <sz val="9"/>
            <rFont val="Tahoma"/>
            <family val="2"/>
          </rPr>
          <t>Comité de Registro</t>
        </r>
      </text>
    </comment>
    <comment ref="D285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Reunión proponentes</t>
        </r>
      </text>
    </comment>
    <comment ref="J285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Reunión proponentes</t>
        </r>
      </text>
    </comment>
    <comment ref="L285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Reunión proponentes</t>
        </r>
      </text>
    </comment>
    <comment ref="J289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Encuentro de calidad</t>
        </r>
      </text>
    </comment>
    <comment ref="E295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comité de comunicaciones</t>
        </r>
      </text>
    </comment>
    <comment ref="L295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comité de comunicaciones</t>
        </r>
      </text>
    </comment>
    <comment ref="G297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comité de comunicaciones</t>
        </r>
      </text>
    </comment>
    <comment ref="H297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comité de comunicaciones</t>
        </r>
      </text>
    </comment>
    <comment ref="I297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comité de comunicaciones</t>
        </r>
      </text>
    </comment>
    <comment ref="F300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Trasnporte auditor de ICONTEC</t>
        </r>
      </text>
    </comment>
    <comment ref="C303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Jornadas registro municipios y camara en su barrio</t>
        </r>
      </text>
    </comment>
    <comment ref="D303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Reunion de proponentes</t>
        </r>
      </text>
    </comment>
    <comment ref="J303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Simposio Jurídico $247.000
Taller de Registro Santa Rosa $390.000</t>
        </r>
      </text>
    </comment>
    <comment ref="K303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Simposio en Bogota</t>
        </r>
      </text>
    </comment>
    <comment ref="D310" authorId="2">
      <text>
        <r>
          <rPr>
            <sz val="9"/>
            <rFont val="Tahoma"/>
            <family val="2"/>
          </rPr>
          <t>Visitas mensuales de CI a las oficinas receptoras.
Capacitacion en control Interno - CONFECAMARAS</t>
        </r>
      </text>
    </comment>
    <comment ref="E310" authorId="2">
      <text>
        <r>
          <rPr>
            <sz val="9"/>
            <rFont val="Tahoma"/>
            <family val="2"/>
          </rPr>
          <t>Visitas mensuales de CI a las oficinas receptoras.</t>
        </r>
      </text>
    </comment>
    <comment ref="F310" authorId="2">
      <text>
        <r>
          <rPr>
            <sz val="9"/>
            <rFont val="Tahoma"/>
            <family val="2"/>
          </rPr>
          <t>Visitas mensuales de CI a las oficinas receptoras.</t>
        </r>
      </text>
    </comment>
    <comment ref="G310" authorId="2">
      <text>
        <r>
          <rPr>
            <sz val="9"/>
            <rFont val="Tahoma"/>
            <family val="2"/>
          </rPr>
          <t>Visitas mensuales de CI a las oficinas receptoras.</t>
        </r>
      </text>
    </comment>
    <comment ref="H310" authorId="2">
      <text>
        <r>
          <rPr>
            <sz val="9"/>
            <rFont val="Tahoma"/>
            <family val="2"/>
          </rPr>
          <t>Visitas mensuales de CI a las oficinas receptoras.</t>
        </r>
      </text>
    </comment>
    <comment ref="I310" authorId="2">
      <text>
        <r>
          <rPr>
            <sz val="9"/>
            <rFont val="Tahoma"/>
            <family val="2"/>
          </rPr>
          <t>Visitas mensuales de CI a las oficinas receptoras.</t>
        </r>
      </text>
    </comment>
    <comment ref="J310" authorId="2">
      <text>
        <r>
          <rPr>
            <sz val="9"/>
            <rFont val="Tahoma"/>
            <family val="2"/>
          </rPr>
          <t>Visitas mensuales de CI a las oficinas receptoras.</t>
        </r>
      </text>
    </comment>
    <comment ref="K310" authorId="2">
      <text>
        <r>
          <rPr>
            <sz val="9"/>
            <rFont val="Tahoma"/>
            <family val="2"/>
          </rPr>
          <t>Visitas mensuales de CI a las oficinas receptoras.</t>
        </r>
      </text>
    </comment>
    <comment ref="L310" authorId="2">
      <text>
        <r>
          <rPr>
            <sz val="9"/>
            <rFont val="Tahoma"/>
            <family val="2"/>
          </rPr>
          <t>Visitas mensuales de CI a las oficinas receptoras.</t>
        </r>
      </text>
    </comment>
    <comment ref="M310" authorId="2">
      <text>
        <r>
          <rPr>
            <sz val="9"/>
            <rFont val="Tahoma"/>
            <family val="2"/>
          </rPr>
          <t>Visitas mensuales de CI a las oficinas receptoras.</t>
        </r>
      </text>
    </comment>
    <comment ref="N310" authorId="2">
      <text>
        <r>
          <rPr>
            <sz val="9"/>
            <rFont val="Tahoma"/>
            <family val="2"/>
          </rPr>
          <t>Visitas mensuales de CI a las oficinas receptoras.</t>
        </r>
      </text>
    </comment>
    <comment ref="C364" authorId="0">
      <text>
        <r>
          <rPr>
            <b/>
            <sz val="9"/>
            <rFont val="Tahoma"/>
            <family val="2"/>
          </rPr>
          <t xml:space="preserve">Refrigerios formacion alianzas para la innovacion
</t>
        </r>
        <r>
          <rPr>
            <sz val="9"/>
            <rFont val="Tahoma"/>
            <family val="2"/>
          </rPr>
          <t xml:space="preserve">
</t>
        </r>
      </text>
    </comment>
    <comment ref="D364" authorId="0">
      <text>
        <r>
          <rPr>
            <b/>
            <sz val="9"/>
            <rFont val="Tahoma"/>
            <family val="2"/>
          </rPr>
          <t xml:space="preserve">Refrigerios formacion alianzas para la innovacion
</t>
        </r>
        <r>
          <rPr>
            <sz val="9"/>
            <rFont val="Tahoma"/>
            <family val="2"/>
          </rPr>
          <t xml:space="preserve">
</t>
        </r>
      </text>
    </comment>
    <comment ref="J372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5 estatuillas</t>
        </r>
      </text>
    </comment>
    <comment ref="J374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luces y sonido de apoiyo
</t>
        </r>
      </text>
    </comment>
    <comment ref="J375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12 meseros</t>
        </r>
      </text>
    </comment>
  </commentList>
</comments>
</file>

<file path=xl/comments15.xml><?xml version="1.0" encoding="utf-8"?>
<comments xmlns="http://schemas.openxmlformats.org/spreadsheetml/2006/main">
  <authors>
    <author>Presidencia</author>
    <author>soporte</author>
  </authors>
  <commentList>
    <comment ref="E5" authorId="0">
      <text>
        <r>
          <rPr>
            <sz val="9"/>
            <rFont val="Tahoma"/>
            <family val="2"/>
          </rPr>
          <t>Portatil DAF
Computador Nancy
El portatil actual DAF pasa para auditorios</t>
        </r>
      </text>
    </comment>
    <comment ref="B6" authorId="1">
      <text>
        <r>
          <rPr>
            <b/>
            <sz val="9"/>
            <rFont val="Tahoma"/>
            <family val="2"/>
          </rPr>
          <t>soporte:</t>
        </r>
        <r>
          <rPr>
            <sz val="9"/>
            <rFont val="Tahoma"/>
            <family val="2"/>
          </rPr>
          <t xml:space="preserve">
* Equipo Tesoreria, obsoleto.
*Equipo sistemas con mayor capacidad y office 2013.
*Portatil Administrativo.</t>
        </r>
      </text>
    </comment>
    <comment ref="C6" authorId="0">
      <text>
        <r>
          <rPr>
            <sz val="9"/>
            <rFont val="Tahoma"/>
            <family val="2"/>
          </rPr>
          <t>Computador Asesor Comercial</t>
        </r>
      </text>
    </comment>
    <comment ref="D6" authorId="0">
      <text>
        <r>
          <rPr>
            <sz val="9"/>
            <rFont val="Tahoma"/>
            <family val="2"/>
          </rPr>
          <t xml:space="preserve">3 equipos para registros
</t>
        </r>
      </text>
    </comment>
    <comment ref="E6" authorId="0">
      <text>
        <r>
          <rPr>
            <sz val="9"/>
            <rFont val="Tahoma"/>
            <family val="2"/>
          </rPr>
          <t>Portatil DAF
Computador Nancy
El portatil actual DAF pasa para auditorios</t>
        </r>
      </text>
    </comment>
    <comment ref="F6" authorId="0">
      <text>
        <r>
          <rPr>
            <sz val="9"/>
            <rFont val="Tahoma"/>
            <family val="2"/>
          </rPr>
          <t xml:space="preserve">Equipo para Coordinacion de sistemas
</t>
        </r>
      </text>
    </comment>
    <comment ref="G6" authorId="0">
      <text>
        <r>
          <rPr>
            <sz val="9"/>
            <rFont val="Tahoma"/>
            <family val="2"/>
          </rPr>
          <t xml:space="preserve">Computador para el tesorero
</t>
        </r>
      </text>
    </comment>
    <comment ref="I6" authorId="0">
      <text>
        <r>
          <rPr>
            <sz val="9"/>
            <rFont val="Tahoma"/>
            <family val="2"/>
          </rPr>
          <t>Portatil DAF
Computador Nancy
El portatil actual DAF pasa para auditorios</t>
        </r>
      </text>
    </comment>
    <comment ref="J6" authorId="0">
      <text>
        <r>
          <rPr>
            <sz val="9"/>
            <rFont val="Tahoma"/>
            <family val="2"/>
          </rPr>
          <t xml:space="preserve">Equipo para Coordinacion de sistemas
</t>
        </r>
      </text>
    </comment>
    <comment ref="K6" authorId="0">
      <text>
        <r>
          <rPr>
            <sz val="9"/>
            <rFont val="Tahoma"/>
            <family val="2"/>
          </rPr>
          <t xml:space="preserve">Computador para el tesorero
</t>
        </r>
      </text>
    </comment>
    <comment ref="B8" authorId="1">
      <text>
        <r>
          <rPr>
            <b/>
            <sz val="9"/>
            <rFont val="Tahoma"/>
            <family val="2"/>
          </rPr>
          <t>soporte:</t>
        </r>
        <r>
          <rPr>
            <sz val="9"/>
            <rFont val="Tahoma"/>
            <family val="2"/>
          </rPr>
          <t xml:space="preserve">
La impresora mobile es para impresión de formularios, certificados y cartulinas.</t>
        </r>
      </text>
    </comment>
    <comment ref="D10" authorId="0">
      <text>
        <r>
          <rPr>
            <sz val="9"/>
            <rFont val="Tahoma"/>
            <family val="2"/>
          </rPr>
          <t xml:space="preserve">2 caja post
</t>
        </r>
      </text>
    </comment>
    <comment ref="B12" authorId="1">
      <text>
        <r>
          <rPr>
            <b/>
            <sz val="9"/>
            <rFont val="Tahoma"/>
            <family val="2"/>
          </rPr>
          <t>soporte:</t>
        </r>
        <r>
          <rPr>
            <sz val="9"/>
            <rFont val="Tahoma"/>
            <family val="2"/>
          </rPr>
          <t xml:space="preserve">
El rack actual presenta saturacion por falta de espacio.</t>
        </r>
      </text>
    </comment>
  </commentList>
</comments>
</file>

<file path=xl/comments2.xml><?xml version="1.0" encoding="utf-8"?>
<comments xmlns="http://schemas.openxmlformats.org/spreadsheetml/2006/main">
  <authors>
    <author>Presidencia</author>
    <author>Promocion</author>
    <author>Camara de Comercio de Cartago</author>
  </authors>
  <commentList>
    <comment ref="D10" authorId="0">
      <text>
        <r>
          <rPr>
            <sz val="9"/>
            <rFont val="Tahoma"/>
            <family val="2"/>
          </rPr>
          <t xml:space="preserve">Seminario de actualizacion tributaria
</t>
        </r>
      </text>
    </comment>
    <comment ref="G24" authorId="1">
      <text>
        <r>
          <rPr>
            <b/>
            <sz val="9"/>
            <rFont val="Tahoma"/>
            <family val="2"/>
          </rPr>
          <t>Promocion:</t>
        </r>
        <r>
          <rPr>
            <sz val="9"/>
            <rFont val="Tahoma"/>
            <family val="2"/>
          </rPr>
          <t xml:space="preserve">
Pauta de la publicidad de la revista empresarial
</t>
        </r>
      </text>
    </comment>
    <comment ref="J25" authorId="1">
      <text>
        <r>
          <rPr>
            <b/>
            <sz val="9"/>
            <rFont val="Tahoma"/>
            <family val="2"/>
          </rPr>
          <t>Promocion:</t>
        </r>
        <r>
          <rPr>
            <sz val="9"/>
            <rFont val="Tahoma"/>
            <family val="2"/>
          </rPr>
          <t xml:space="preserve">
Pauta de la publicidad de la revista empresarial
</t>
        </r>
      </text>
    </comment>
    <comment ref="K25" authorId="2">
      <text>
        <r>
          <rPr>
            <b/>
            <sz val="9"/>
            <rFont val="Tahoma"/>
            <family val="2"/>
          </rPr>
          <t xml:space="preserve">Pauta publicitaria revista empresarial; pauta publicitaria feria universitaria
</t>
        </r>
      </text>
    </comment>
    <comment ref="L25" authorId="1">
      <text>
        <r>
          <rPr>
            <b/>
            <sz val="9"/>
            <rFont val="Tahoma"/>
            <family val="2"/>
          </rPr>
          <t>Promocion:</t>
        </r>
        <r>
          <rPr>
            <sz val="9"/>
            <rFont val="Tahoma"/>
            <family val="2"/>
          </rPr>
          <t xml:space="preserve">
Pauta de la publicidad de la revista empresarial
</t>
        </r>
      </text>
    </comment>
    <comment ref="N67" authorId="0">
      <text>
        <r>
          <rPr>
            <b/>
            <sz val="9"/>
            <rFont val="Tahoma"/>
            <family val="2"/>
          </rPr>
          <t>Incentivo fin de año 40%</t>
        </r>
        <r>
          <rPr>
            <sz val="9"/>
            <rFont val="Tahoma"/>
            <family val="2"/>
          </rPr>
          <t xml:space="preserve">
</t>
        </r>
      </text>
    </comment>
    <comment ref="C68" authorId="0">
      <text>
        <r>
          <rPr>
            <sz val="9"/>
            <rFont val="Tahoma"/>
            <family val="2"/>
          </rPr>
          <t xml:space="preserve">Comision 5% venta informacion comercial
</t>
        </r>
      </text>
    </comment>
    <comment ref="D68" authorId="0">
      <text>
        <r>
          <rPr>
            <sz val="9"/>
            <rFont val="Tahoma"/>
            <family val="2"/>
          </rPr>
          <t>Comision 5%  por venta de seminario 250.000
comiison 5% venta salones
comision 4% cafeteria 80.000
comision 5% def 200.000</t>
        </r>
      </text>
    </comment>
    <comment ref="E68" authorId="0">
      <text>
        <r>
          <rPr>
            <sz val="9"/>
            <rFont val="Tahoma"/>
            <family val="2"/>
          </rPr>
          <t>Comision por venta de afiliados
Comision 55 venta informacion comercial</t>
        </r>
      </text>
    </comment>
    <comment ref="F68" authorId="0">
      <text>
        <r>
          <rPr>
            <sz val="9"/>
            <rFont val="Tahoma"/>
            <family val="2"/>
          </rPr>
          <t>Comision 5%  por venta de seminario 250.000
comiison 5% venta salones
comision 4% cafeteria 80.000
comision 5% def 200.000</t>
        </r>
      </text>
    </comment>
    <comment ref="G68" authorId="0">
      <text>
        <r>
          <rPr>
            <sz val="9"/>
            <rFont val="Tahoma"/>
            <family val="2"/>
          </rPr>
          <t xml:space="preserve">Comision 5% venta informacion comercial
</t>
        </r>
      </text>
    </comment>
    <comment ref="H68" authorId="0">
      <text>
        <r>
          <rPr>
            <sz val="9"/>
            <rFont val="Tahoma"/>
            <family val="2"/>
          </rPr>
          <t xml:space="preserve">Comision 5%  por venta de seminario 250.000
comiison 5% venta salones
comision 4% cafeteria 80.000
comison 5% vinculaciones 137.500
comision 4% venta revista 640.000
</t>
        </r>
      </text>
    </comment>
    <comment ref="I68" authorId="0">
      <text>
        <r>
          <rPr>
            <sz val="9"/>
            <rFont val="Tahoma"/>
            <family val="2"/>
          </rPr>
          <t xml:space="preserve">Comision 5% venta informacion comercial
</t>
        </r>
      </text>
    </comment>
    <comment ref="J68" authorId="0">
      <text>
        <r>
          <rPr>
            <sz val="9"/>
            <rFont val="Tahoma"/>
            <family val="2"/>
          </rPr>
          <t>Comision 5%  por venta de seminario 250.000
comiison 5% venta salones
comision 4% cafeteria 80.000
comision 5% def 200.000</t>
        </r>
      </text>
    </comment>
    <comment ref="K68" authorId="0">
      <text>
        <r>
          <rPr>
            <sz val="9"/>
            <rFont val="Tahoma"/>
            <family val="2"/>
          </rPr>
          <t xml:space="preserve">Comision 5% venta informacion comercial
</t>
        </r>
      </text>
    </comment>
    <comment ref="L68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comision 5% venbta salones
comision 4% cafeteria 80.000
comision 5% def 200.000
</t>
        </r>
      </text>
    </comment>
    <comment ref="M68" authorId="0">
      <text>
        <r>
          <rPr>
            <sz val="9"/>
            <rFont val="Tahoma"/>
            <family val="2"/>
          </rPr>
          <t>Comision 3% venta diplomado
comision 55 venta informacion comercial</t>
        </r>
      </text>
    </comment>
    <comment ref="N68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comison 5% vinculaciones 137500
comision 4% venta revista 640.000</t>
        </r>
      </text>
    </comment>
    <comment ref="C70" authorId="0">
      <text>
        <r>
          <rPr>
            <b/>
            <sz val="9"/>
            <rFont val="Tahoma"/>
            <family val="2"/>
          </rPr>
          <t>Especializacion en economia presidenta ejecutiva</t>
        </r>
        <r>
          <rPr>
            <sz val="9"/>
            <rFont val="Tahoma"/>
            <family val="2"/>
          </rPr>
          <t xml:space="preserve">
</t>
        </r>
      </text>
    </comment>
    <comment ref="D79" authorId="0">
      <text>
        <r>
          <rPr>
            <sz val="9"/>
            <rFont val="Tahoma"/>
            <family val="2"/>
          </rPr>
          <t xml:space="preserve">Actualizacion tributaria
</t>
        </r>
      </text>
    </comment>
    <comment ref="F79" authorId="0">
      <text>
        <r>
          <rPr>
            <b/>
            <sz val="9"/>
            <rFont val="Tahoma"/>
            <family val="2"/>
          </rPr>
          <t>Seminario 2</t>
        </r>
        <r>
          <rPr>
            <sz val="9"/>
            <rFont val="Tahoma"/>
            <family val="2"/>
          </rPr>
          <t xml:space="preserve">
</t>
        </r>
      </text>
    </comment>
    <comment ref="H79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seminario 3</t>
        </r>
      </text>
    </comment>
    <comment ref="I79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seminario 4</t>
        </r>
      </text>
    </comment>
    <comment ref="J79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Diplomado</t>
        </r>
      </text>
    </comment>
    <comment ref="M79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Diplomado</t>
        </r>
      </text>
    </comment>
    <comment ref="D80" authorId="0">
      <text>
        <r>
          <rPr>
            <b/>
            <sz val="9"/>
            <rFont val="Tahoma"/>
            <family val="2"/>
          </rPr>
          <t>tertuliando 1</t>
        </r>
        <r>
          <rPr>
            <sz val="9"/>
            <rFont val="Tahoma"/>
            <family val="2"/>
          </rPr>
          <t xml:space="preserve">
</t>
        </r>
      </text>
    </comment>
    <comment ref="H80" authorId="0">
      <text>
        <r>
          <rPr>
            <b/>
            <sz val="9"/>
            <rFont val="Tahoma"/>
            <family val="2"/>
          </rPr>
          <t>tertuliando 2</t>
        </r>
        <r>
          <rPr>
            <sz val="9"/>
            <rFont val="Tahoma"/>
            <family val="2"/>
          </rPr>
          <t xml:space="preserve">
</t>
        </r>
      </text>
    </comment>
    <comment ref="L80" authorId="0">
      <text>
        <r>
          <rPr>
            <sz val="9"/>
            <rFont val="Tahoma"/>
            <family val="2"/>
          </rPr>
          <t xml:space="preserve">tertuliando 3
</t>
        </r>
      </text>
    </comment>
    <comment ref="C133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Evento contadores, actualizacion tributaria, exogena e impuestos
</t>
        </r>
      </text>
    </comment>
    <comment ref="D133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Actualización de NIIF</t>
        </r>
      </text>
    </comment>
    <comment ref="C146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Evento contadores, actualizacion tributaria, exogena e impuestos
</t>
        </r>
      </text>
    </comment>
    <comment ref="D146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Actualización de NIIF</t>
        </r>
      </text>
    </comment>
    <comment ref="C148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Evento contadores, actualizacion tributaria, exogena e impuestos
</t>
        </r>
      </text>
    </comment>
    <comment ref="D148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Evento contadores, actualizacion tributaria, exogena e impuestos
</t>
        </r>
      </text>
    </comment>
    <comment ref="E148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Actualización de NIIF</t>
        </r>
      </text>
    </comment>
    <comment ref="F150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Campaña auditorios en facebook
</t>
        </r>
      </text>
    </comment>
    <comment ref="G174" authorId="2">
      <text>
        <r>
          <rPr>
            <b/>
            <sz val="9"/>
            <rFont val="Tahoma"/>
            <family val="2"/>
          </rPr>
          <t>Alojamiento por capacitaciones y auditorios</t>
        </r>
      </text>
    </comment>
    <comment ref="G181" authorId="2">
      <text>
        <r>
          <rPr>
            <b/>
            <sz val="9"/>
            <rFont val="Tahoma"/>
            <family val="2"/>
          </rPr>
          <t xml:space="preserve">Pasajes por afiliados y auditorios
</t>
        </r>
        <r>
          <rPr>
            <sz val="9"/>
            <rFont val="Tahoma"/>
            <family val="2"/>
          </rPr>
          <t xml:space="preserve">
</t>
        </r>
      </text>
    </comment>
    <comment ref="D204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Actualización de NIIF</t>
        </r>
      </text>
    </comment>
    <comment ref="N215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Obsequios mienbros de Junta por Navidad</t>
        </r>
      </text>
    </comment>
    <comment ref="C217" authorId="0">
      <text>
        <r>
          <rPr>
            <b/>
            <sz val="9"/>
            <rFont val="Tahoma"/>
            <family val="2"/>
          </rPr>
          <t>Rumboterapia</t>
        </r>
        <r>
          <rPr>
            <sz val="9"/>
            <rFont val="Tahoma"/>
            <family val="2"/>
          </rPr>
          <t xml:space="preserve">
cumpleaños 500.000</t>
        </r>
      </text>
    </comment>
    <comment ref="D217" authorId="0">
      <text>
        <r>
          <rPr>
            <b/>
            <sz val="9"/>
            <rFont val="Tahoma"/>
            <family val="2"/>
          </rPr>
          <t>Rumboterapia 100.000
Alegria 50.000
servicio 50.000</t>
        </r>
        <r>
          <rPr>
            <sz val="9"/>
            <rFont val="Tahoma"/>
            <family val="2"/>
          </rPr>
          <t xml:space="preserve">
</t>
        </r>
      </text>
    </comment>
    <comment ref="E217" authorId="0">
      <text>
        <r>
          <rPr>
            <sz val="9"/>
            <rFont val="Tahoma"/>
            <family val="2"/>
          </rPr>
          <t>Actividad día de la Mujer
Rumboteria $100.000
10 en la trivia $150.000</t>
        </r>
      </text>
    </comment>
    <comment ref="F217" authorId="0">
      <text>
        <r>
          <rPr>
            <b/>
            <sz val="9"/>
            <rFont val="Tahoma"/>
            <family val="2"/>
          </rPr>
          <t>Rumboterapia 100.000
Alegria 50.000
servicio 50.000</t>
        </r>
        <r>
          <rPr>
            <sz val="9"/>
            <rFont val="Tahoma"/>
            <family val="2"/>
          </rPr>
          <t xml:space="preserve">
</t>
        </r>
      </text>
    </comment>
    <comment ref="G217" authorId="2">
      <text>
        <r>
          <rPr>
            <sz val="9"/>
            <rFont val="Tahoma"/>
            <family val="2"/>
          </rPr>
          <t>Dia de la madre $300.000
rumboterapia $100.000</t>
        </r>
      </text>
    </comment>
    <comment ref="H217" authorId="2">
      <text>
        <r>
          <rPr>
            <sz val="9"/>
            <rFont val="Tahoma"/>
            <family val="2"/>
          </rPr>
          <t>Día del padre $200.000
Rumboterapia $100.000
grados 300.000
10en la trivia 150.000
SPA $100.000 nutricion
Bono evaluacion 150.000
alegria 50.000
servicio 50.000</t>
        </r>
      </text>
    </comment>
    <comment ref="I217" authorId="0">
      <text>
        <r>
          <rPr>
            <b/>
            <sz val="9"/>
            <rFont val="Tahoma"/>
            <family val="2"/>
          </rPr>
          <t>Rumboterapia</t>
        </r>
        <r>
          <rPr>
            <sz val="9"/>
            <rFont val="Tahoma"/>
            <family val="2"/>
          </rPr>
          <t xml:space="preserve">
</t>
        </r>
      </text>
    </comment>
    <comment ref="J217" authorId="0">
      <text>
        <r>
          <rPr>
            <b/>
            <sz val="9"/>
            <rFont val="Tahoma"/>
            <family val="2"/>
          </rPr>
          <t>Rumboterapia</t>
        </r>
        <r>
          <rPr>
            <sz val="9"/>
            <rFont val="Tahoma"/>
            <family val="2"/>
          </rPr>
          <t xml:space="preserve">
Semana de la salud 400.000
alegria 50.000
servicio 50.000</t>
        </r>
      </text>
    </comment>
    <comment ref="K217" authorId="0">
      <text>
        <r>
          <rPr>
            <sz val="9"/>
            <rFont val="Tahoma"/>
            <family val="2"/>
          </rPr>
          <t xml:space="preserve">Amor y amistad $300.000
Rumboterapia $100.000
10 en la trivia 150.000
</t>
        </r>
      </text>
    </comment>
    <comment ref="L217" authorId="2">
      <text>
        <r>
          <rPr>
            <sz val="9"/>
            <rFont val="Tahoma"/>
            <family val="2"/>
          </rPr>
          <t xml:space="preserve">Hallowenn $600.000
alegria 50.000
servicio 50.000
</t>
        </r>
      </text>
    </comment>
    <comment ref="M217" authorId="0">
      <text>
        <r>
          <rPr>
            <b/>
            <sz val="9"/>
            <rFont val="Tahoma"/>
            <family val="2"/>
          </rPr>
          <t>Rumboterapia</t>
        </r>
        <r>
          <rPr>
            <sz val="9"/>
            <rFont val="Tahoma"/>
            <family val="2"/>
          </rPr>
          <t xml:space="preserve">
</t>
        </r>
      </text>
    </comment>
    <comment ref="N217" authorId="2">
      <text>
        <r>
          <rPr>
            <sz val="9"/>
            <rFont val="Tahoma"/>
            <family val="2"/>
          </rPr>
          <t>Novenas de navidad $600.000
grados 300.000
10 en la trivia 150.000
SPA nuticion 100.000
bono evaluacion 150.000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Alegria 50.000
servicio 50.000
</t>
        </r>
      </text>
    </comment>
    <comment ref="H218" authorId="2">
      <text>
        <r>
          <rPr>
            <sz val="9"/>
            <rFont val="Tahoma"/>
            <family val="2"/>
          </rPr>
          <t xml:space="preserve">manteles
</t>
        </r>
      </text>
    </comment>
    <comment ref="C223" authorId="0">
      <text>
        <r>
          <rPr>
            <b/>
            <sz val="9"/>
            <rFont val="Tahoma"/>
            <family val="2"/>
          </rPr>
          <t>Presidencia:</t>
        </r>
        <r>
          <rPr>
            <sz val="9"/>
            <rFont val="Tahoma"/>
            <family val="2"/>
          </rPr>
          <t xml:space="preserve">
Regalos para primeros matriculados</t>
        </r>
      </text>
    </comment>
  </commentList>
</comments>
</file>

<file path=xl/sharedStrings.xml><?xml version="1.0" encoding="utf-8"?>
<sst xmlns="http://schemas.openxmlformats.org/spreadsheetml/2006/main" count="1449" uniqueCount="846">
  <si>
    <t>CAMARA DE COMERCIO DE CARTAGO</t>
  </si>
  <si>
    <t>HONORARIOS</t>
  </si>
  <si>
    <t>Revisoría Fiscal</t>
  </si>
  <si>
    <t>Otros</t>
  </si>
  <si>
    <t>TOTAL</t>
  </si>
  <si>
    <t>IMPUESTOS</t>
  </si>
  <si>
    <t>Impuesto a la Propiedad Raiz (Predial)</t>
  </si>
  <si>
    <t>ARRENDAMIENTOS</t>
  </si>
  <si>
    <t>CONSTRUCCIONES Y EDIFICACIONES</t>
  </si>
  <si>
    <t>Alquiler oficina La Unión</t>
  </si>
  <si>
    <t>Alquiler oficina Roldanillo</t>
  </si>
  <si>
    <t>EQUIPO DE COMPUT Y COMUNICAC.</t>
  </si>
  <si>
    <t>EQUIPO HOTELES Y RESTAURANTES</t>
  </si>
  <si>
    <t>SEGUROS</t>
  </si>
  <si>
    <t>Manejo</t>
  </si>
  <si>
    <t>Cumplimiento</t>
  </si>
  <si>
    <t>Corriente Débil</t>
  </si>
  <si>
    <t>Incendio</t>
  </si>
  <si>
    <t>Sustracción y Hurto</t>
  </si>
  <si>
    <t>Responsabilidad Civil Extracon</t>
  </si>
  <si>
    <t>Transporte valores</t>
  </si>
  <si>
    <t xml:space="preserve">       Resp.Civil Cámara</t>
  </si>
  <si>
    <t>SERVICIOS</t>
  </si>
  <si>
    <t>Aseo y vigilancia</t>
  </si>
  <si>
    <t>Temporales</t>
  </si>
  <si>
    <t>Acueducto y Alcantarillado</t>
  </si>
  <si>
    <t>Energía Eléctrica</t>
  </si>
  <si>
    <t>Teléfono</t>
  </si>
  <si>
    <t>Correo, Portes y Telegramas</t>
  </si>
  <si>
    <t>Fax y Telex</t>
  </si>
  <si>
    <t xml:space="preserve">     Aseo Emcartago</t>
  </si>
  <si>
    <t xml:space="preserve">     Vigilancia sede principal</t>
  </si>
  <si>
    <t xml:space="preserve">     Monitoreo sede Principal</t>
  </si>
  <si>
    <t xml:space="preserve">     Monitoreo Of. La Unión</t>
  </si>
  <si>
    <t xml:space="preserve">     Monitoreo Of. Roldanillo</t>
  </si>
  <si>
    <t xml:space="preserve">       Resp.Civil Confecámaras</t>
  </si>
  <si>
    <t xml:space="preserve">     Aseo oficina La Unión</t>
  </si>
  <si>
    <t xml:space="preserve">     Serv. Agua Of. Unión-Acuavalle</t>
  </si>
  <si>
    <t xml:space="preserve">     Acueduc-Alcantarill.Emcartago</t>
  </si>
  <si>
    <t xml:space="preserve">     Energía Emcartago</t>
  </si>
  <si>
    <t xml:space="preserve">     Energía Roldanillo</t>
  </si>
  <si>
    <t xml:space="preserve">     Energía La Unión</t>
  </si>
  <si>
    <t xml:space="preserve">      Serv. Telef. Roldanillo</t>
  </si>
  <si>
    <t xml:space="preserve">      Serv. Telef. La Unión</t>
  </si>
  <si>
    <t xml:space="preserve">      Serv. Telef. EPM Cartago</t>
  </si>
  <si>
    <t xml:space="preserve">      Serv. Telef. Teléfonos Ctgo</t>
  </si>
  <si>
    <t xml:space="preserve">      Varios</t>
  </si>
  <si>
    <t xml:space="preserve">      Envío corresp. local</t>
  </si>
  <si>
    <t xml:space="preserve">      Corresp. Revisoría Fiscal</t>
  </si>
  <si>
    <t xml:space="preserve">      Envío corresp. Nal-Servientrega</t>
  </si>
  <si>
    <t xml:space="preserve">      Envío corresp.Ofic.receptoras</t>
  </si>
  <si>
    <t>GASTOS LEGALES</t>
  </si>
  <si>
    <t>Notariales</t>
  </si>
  <si>
    <t>MANTENIMIENTO Y REPARACIONES</t>
  </si>
  <si>
    <t>Construcciones y Edificaciones</t>
  </si>
  <si>
    <t xml:space="preserve">       Mejoras en propiedad ajena (Of.Unión)</t>
  </si>
  <si>
    <t xml:space="preserve">       Reparaciones eléctricas</t>
  </si>
  <si>
    <t>Equipo de Oficina</t>
  </si>
  <si>
    <t xml:space="preserve">       Cambio filtro y MO purificador agua</t>
  </si>
  <si>
    <t>Equipo de Computación y Comunicación</t>
  </si>
  <si>
    <t>Software</t>
  </si>
  <si>
    <t>GASTOS DE VIAJE</t>
  </si>
  <si>
    <t>DEPRECIACIONES</t>
  </si>
  <si>
    <t>Alojamiento y manutención</t>
  </si>
  <si>
    <t xml:space="preserve">     Hospedaje  Reunión administrativos</t>
  </si>
  <si>
    <t>Pasajes aéreos</t>
  </si>
  <si>
    <t xml:space="preserve">     Tiquete  Reunión administrativos</t>
  </si>
  <si>
    <t>PASAJES TERRESTRES</t>
  </si>
  <si>
    <t>Viáticos</t>
  </si>
  <si>
    <t>Construcciones y Edificacione</t>
  </si>
  <si>
    <t>Equipo de Comunicación y Computación</t>
  </si>
  <si>
    <t>AMORTIZACIONES</t>
  </si>
  <si>
    <t>Intangibles</t>
  </si>
  <si>
    <t>Cargos diferidos</t>
  </si>
  <si>
    <t xml:space="preserve">        Antivirus</t>
  </si>
  <si>
    <t>DIVERSOS</t>
  </si>
  <si>
    <t>Libros, Suscripciones, periódicos, Revistas</t>
  </si>
  <si>
    <t>Elementos de Aseo y Cafetería</t>
  </si>
  <si>
    <t xml:space="preserve">         Elementos de aseo</t>
  </si>
  <si>
    <t xml:space="preserve">         Elementos de cafetería</t>
  </si>
  <si>
    <t>Utiles, Papelería y Fotocopias</t>
  </si>
  <si>
    <t xml:space="preserve">          Utiles y papelería</t>
  </si>
  <si>
    <t xml:space="preserve">          Fotocopias</t>
  </si>
  <si>
    <t>Combustibles y Lubricantes</t>
  </si>
  <si>
    <t>Taxis y Buses</t>
  </si>
  <si>
    <t>Casinos y Restaurante</t>
  </si>
  <si>
    <t>Parqueaderos</t>
  </si>
  <si>
    <t xml:space="preserve">       Pago Aprendiz Sena</t>
  </si>
  <si>
    <t xml:space="preserve">       Aportes salud aprendiz Sena</t>
  </si>
  <si>
    <t xml:space="preserve">       Aportes riesgos aprendiz Sena</t>
  </si>
  <si>
    <t xml:space="preserve">       Otros</t>
  </si>
  <si>
    <t>EGRESOS NO OPERACIONALES</t>
  </si>
  <si>
    <t>FINANCIEROS</t>
  </si>
  <si>
    <t>Gravamen 4 x 1000</t>
  </si>
  <si>
    <t>Chequeras</t>
  </si>
  <si>
    <t>Comisiones</t>
  </si>
  <si>
    <t xml:space="preserve">     </t>
  </si>
  <si>
    <t>......SUELDOS</t>
  </si>
  <si>
    <t>......HORAS EXTRAS Y RECARGOS</t>
  </si>
  <si>
    <t>......AUXILIO DE TRANSPORTE</t>
  </si>
  <si>
    <t>......CESANTIAS</t>
  </si>
  <si>
    <t>......INTERESES SOBRE CESANTIAS</t>
  </si>
  <si>
    <t>......PRIMA DE SERVICIOS</t>
  </si>
  <si>
    <t>......VACACIONES</t>
  </si>
  <si>
    <t>......AUXILIOS</t>
  </si>
  <si>
    <t>......BONIFICACIONES</t>
  </si>
  <si>
    <t>......DOTACION Y SUMINISTRO TRABAJAD</t>
  </si>
  <si>
    <t>......INDEMNIZACIONES LABORALES</t>
  </si>
  <si>
    <t>......CAPACITACION AL PERSONAL</t>
  </si>
  <si>
    <t>......APORTES A.R.P</t>
  </si>
  <si>
    <t>......APORTES SEGURIDAD SOCIAL E.P.S</t>
  </si>
  <si>
    <t>......APORTES FONDO DE PEN/CESANT.</t>
  </si>
  <si>
    <t>......APORTES CAJA DE COMPENSACION</t>
  </si>
  <si>
    <t>......APORTES I.C.B.F.</t>
  </si>
  <si>
    <t>......APORTES AL SENA</t>
  </si>
  <si>
    <t>......GASTOS MEDICOS Y DROGAS</t>
  </si>
  <si>
    <t>......SALUD OCUPACIONAL</t>
  </si>
  <si>
    <t>GASTOS</t>
  </si>
  <si>
    <t>OPERACIONALES ADMINISTRACION</t>
  </si>
  <si>
    <t>CONTRIBUCIONES Y AFILIACIONES</t>
  </si>
  <si>
    <t>Contribuciones</t>
  </si>
  <si>
    <t>Afiliaciones y sostenimiento</t>
  </si>
  <si>
    <t xml:space="preserve">       Contribución SIC</t>
  </si>
  <si>
    <t xml:space="preserve">       Confecámaras</t>
  </si>
  <si>
    <t xml:space="preserve">               Participac. Asamblea Confecámaras</t>
  </si>
  <si>
    <t xml:space="preserve">         Confecámaras (cuota sostenimiento)</t>
  </si>
  <si>
    <t xml:space="preserve">        Licenciamiento Office</t>
  </si>
  <si>
    <t>Intereses Obligaciones financieras</t>
  </si>
  <si>
    <t xml:space="preserve">        Firma Certificados Digital</t>
  </si>
  <si>
    <t xml:space="preserve">        Contribución Contraloría (Control fiscal)</t>
  </si>
  <si>
    <t xml:space="preserve">       Mantenim. Plancha edificio</t>
  </si>
  <si>
    <t xml:space="preserve">       Pintura edificio </t>
  </si>
  <si>
    <t>GASTOS DE PERSONAL</t>
  </si>
  <si>
    <t>......PRIMA DE VACACIONES</t>
  </si>
  <si>
    <t xml:space="preserve">       Asocámaras (Cobro cuatrimestre)</t>
  </si>
  <si>
    <t xml:space="preserve">         Club orión</t>
  </si>
  <si>
    <t xml:space="preserve">         Club Los Gorrones</t>
  </si>
  <si>
    <t xml:space="preserve">      Recarga celular Aux.logística</t>
  </si>
  <si>
    <t xml:space="preserve">      Corresp. Credenciales afiliados</t>
  </si>
  <si>
    <t xml:space="preserve">       Reparación baños auditorios</t>
  </si>
  <si>
    <t xml:space="preserve">       mantenim. Equipo de audio</t>
  </si>
  <si>
    <t xml:space="preserve">        Suscripción Revista Semana</t>
  </si>
  <si>
    <t>INGRESOS</t>
  </si>
  <si>
    <t>OPERACIONALES</t>
  </si>
  <si>
    <t>AFILIACIONES</t>
  </si>
  <si>
    <t>CAPACITACION</t>
  </si>
  <si>
    <t>CONCILIACION Y ARBITRAJE</t>
  </si>
  <si>
    <t xml:space="preserve">       ADMON.CONCILIACION-PRIVADO</t>
  </si>
  <si>
    <t xml:space="preserve">       REGISTRO DE ACTAS DE CONCILIAC</t>
  </si>
  <si>
    <t xml:space="preserve">       ARCHIVO CONSTANCIAS</t>
  </si>
  <si>
    <t xml:space="preserve">       FOTOCOPIAS CONCILIACION</t>
  </si>
  <si>
    <t xml:space="preserve">        AUTENTICACIONES</t>
  </si>
  <si>
    <t>SERVICIOS ESPECIALES Y VARIOS</t>
  </si>
  <si>
    <t xml:space="preserve">       VTA.INFORMA.COMERCIAL-PRIVADO</t>
  </si>
  <si>
    <t xml:space="preserve">       DEPOSITO ESTAD.FINANCI.-PRIVAD</t>
  </si>
  <si>
    <t xml:space="preserve">       COPIAS Y FOTOCOPIAS-PRIVADO</t>
  </si>
  <si>
    <t xml:space="preserve">       PORTES-PRIVADO</t>
  </si>
  <si>
    <t>INGRESOS NO OPERACIONALES</t>
  </si>
  <si>
    <t xml:space="preserve">         INTERESES</t>
  </si>
  <si>
    <t xml:space="preserve">          LOCALES-PRIVADO</t>
  </si>
  <si>
    <t xml:space="preserve">                        Local Comfenalco</t>
  </si>
  <si>
    <t xml:space="preserve">                         Local Apuestas Azar</t>
  </si>
  <si>
    <t xml:space="preserve">          SALONES-PRIVADO</t>
  </si>
  <si>
    <t xml:space="preserve">          ESPACIO PUBLICITARIO-PRIVADO</t>
  </si>
  <si>
    <t xml:space="preserve">                         Espacio aviso Comfenalco</t>
  </si>
  <si>
    <t xml:space="preserve">          ALQUILER EQUIPOS</t>
  </si>
  <si>
    <t xml:space="preserve">         SERVICIOS DE CAFETERIA</t>
  </si>
  <si>
    <t xml:space="preserve">        APROVECHAMIENTOS</t>
  </si>
  <si>
    <t xml:space="preserve">        OTROS</t>
  </si>
  <si>
    <t>EXCEDENTES</t>
  </si>
  <si>
    <t xml:space="preserve"> enero </t>
  </si>
  <si>
    <t>febrero</t>
  </si>
  <si>
    <t xml:space="preserve"> marzo </t>
  </si>
  <si>
    <t>abril</t>
  </si>
  <si>
    <t xml:space="preserve"> mayo </t>
  </si>
  <si>
    <t>junio</t>
  </si>
  <si>
    <t xml:space="preserve"> julio </t>
  </si>
  <si>
    <t>agosto</t>
  </si>
  <si>
    <t xml:space="preserve"> septiembre </t>
  </si>
  <si>
    <t>octubre</t>
  </si>
  <si>
    <t xml:space="preserve"> noviembre </t>
  </si>
  <si>
    <t>diciembre</t>
  </si>
  <si>
    <t>EXCEDENTE/DEFICIT</t>
  </si>
  <si>
    <t>.INGRESOS</t>
  </si>
  <si>
    <t>..OPERACIONALES</t>
  </si>
  <si>
    <t>..........MATRICULAS</t>
  </si>
  <si>
    <t>............MATRICU.PERSONA NATURA.JURIDIC</t>
  </si>
  <si>
    <t>............MATRICULA ESTABLECIMIENTO</t>
  </si>
  <si>
    <t>..........RENOVACIONES</t>
  </si>
  <si>
    <t>............RENOVA.PERSONA NATURAL.JURIDIC</t>
  </si>
  <si>
    <t>............RENOVACION ESTABLECIMIENTOS</t>
  </si>
  <si>
    <t>............DSCT ART. 50 LEY 1429-MATRICUL</t>
  </si>
  <si>
    <t>..........INSCRIPCIONES</t>
  </si>
  <si>
    <t>............INSCR.ADMINIST.BIENES COMERC</t>
  </si>
  <si>
    <t>............INSCRI.ESTABLECI.DE COMERCIO</t>
  </si>
  <si>
    <t>............INSCRI.LIBROS DE COMERCIO</t>
  </si>
  <si>
    <t>............INSCRI.SOCIED.COMERC.E INST.FI</t>
  </si>
  <si>
    <t>............INSCRI.PRENDA</t>
  </si>
  <si>
    <t>............INSCRI.EMPRE.ASOCTV.DE TRABAJO</t>
  </si>
  <si>
    <t>............INSCRI.MATRICU.Y MUTACIONES</t>
  </si>
  <si>
    <t>............DERECHOS DE INSCRIP.ACTOS,DCMT</t>
  </si>
  <si>
    <t>............AUTORIZA.MENORES EDAD Y RENOV.</t>
  </si>
  <si>
    <t>............INSCRI.CONCORDA,LIQUI.OBLIGATO</t>
  </si>
  <si>
    <t>..........FORMULARIOS INSCRIPCION</t>
  </si>
  <si>
    <t>............FORMULARIOS DE INSCRIPCION</t>
  </si>
  <si>
    <t>..........CERTIFICADOS</t>
  </si>
  <si>
    <t>............CERTIFI.MATRICULA MERCANTIL</t>
  </si>
  <si>
    <t>............CERTIFI.EXISTEN.REPRESENTACION</t>
  </si>
  <si>
    <t>............CERTIFI.LIBROS DE COMERCIO</t>
  </si>
  <si>
    <t>............CERTIFI.ESPECIALES</t>
  </si>
  <si>
    <t>..........EXPEDICION DE COPIAS</t>
  </si>
  <si>
    <t>............EXPEDICION DE COPIAS PUBLICO</t>
  </si>
  <si>
    <t>........DEL REGISTRO DE PROPONENTES</t>
  </si>
  <si>
    <t>..........DERECHOS INSCRIP.PROPONENTE</t>
  </si>
  <si>
    <t>..........DERECHO RENOVACION PROPONENTE</t>
  </si>
  <si>
    <t>..........ACTUALIZACION DE PROPONENTES</t>
  </si>
  <si>
    <t>..........CERTIFICADO PROPONENTE</t>
  </si>
  <si>
    <t>........DEL REGISTRO DE LAS ESAL</t>
  </si>
  <si>
    <t>..........DERECHO INSCRIPCION ESAL</t>
  </si>
  <si>
    <t>..........CERTIFICADOS ESAL</t>
  </si>
  <si>
    <t>..........LIBROS E.S.A.L</t>
  </si>
  <si>
    <t>..INGRESOS NO OPERACIONALES</t>
  </si>
  <si>
    <t>.......INTERESES-PUBLICO</t>
  </si>
  <si>
    <t>....INGRESOS DE EJERCICIOS ANTERIO</t>
  </si>
  <si>
    <t>....DIVERSOS</t>
  </si>
  <si>
    <t xml:space="preserve">               Aporte servicios tecnológicos</t>
  </si>
  <si>
    <t xml:space="preserve">               Gastos de Operación RUE</t>
  </si>
  <si>
    <t xml:space="preserve">               Encuentro Nacional de Cámaras</t>
  </si>
  <si>
    <t xml:space="preserve">         Afiliación Icontec</t>
  </si>
  <si>
    <t>Terremoto</t>
  </si>
  <si>
    <t>Actos mal intencionados de terceros</t>
  </si>
  <si>
    <t xml:space="preserve">      Envío requerimientos No Renovados</t>
  </si>
  <si>
    <t>Publicidad</t>
  </si>
  <si>
    <t xml:space="preserve">       Pintura interior del edificio</t>
  </si>
  <si>
    <t xml:space="preserve">       Mantenimientos menores</t>
  </si>
  <si>
    <t xml:space="preserve">                 Mantenimiento luces externas edificio</t>
  </si>
  <si>
    <t xml:space="preserve">       Reparación sillas  y otros</t>
  </si>
  <si>
    <t xml:space="preserve"> </t>
  </si>
  <si>
    <t xml:space="preserve">        Mantenimiento central telefónica</t>
  </si>
  <si>
    <t xml:space="preserve">        Manten.Scanner</t>
  </si>
  <si>
    <t xml:space="preserve">     Tiquete encuentro Nal.de Cámaras</t>
  </si>
  <si>
    <t xml:space="preserve">         Renovac. Suscrip. Régimen laboral </t>
  </si>
  <si>
    <t xml:space="preserve">         Renovac.Suscrip. Procedimiento Civil</t>
  </si>
  <si>
    <t xml:space="preserve">          Auxilio moto mensajero</t>
  </si>
  <si>
    <t>Pasajes Terrestres</t>
  </si>
  <si>
    <t xml:space="preserve">     Publicidad</t>
  </si>
  <si>
    <t xml:space="preserve">     Telemercadeo</t>
  </si>
  <si>
    <t>OTROS ALQUILERES</t>
  </si>
  <si>
    <t>TERREMOTO</t>
  </si>
  <si>
    <t>Auditoría de seguimiento y ampliación alcance SGC</t>
  </si>
  <si>
    <t>.......IVA DESCONTABLE - PUBLICO</t>
  </si>
  <si>
    <t>.........I.V.A. DESCONTABLE 10%</t>
  </si>
  <si>
    <t>.........I.V.A. DESCONTABLE 16%</t>
  </si>
  <si>
    <t>Dominio camaracartago.org</t>
  </si>
  <si>
    <t xml:space="preserve">       Mantenimiento tanques de reserva</t>
  </si>
  <si>
    <t>Maquinaria y Equipo</t>
  </si>
  <si>
    <t xml:space="preserve">        Mantenim.Planta eléctrica</t>
  </si>
  <si>
    <t>............CAPTL. MATRIM Y LIQID SOCD</t>
  </si>
  <si>
    <t>PROGRAMA PRESUP. AFILIADOS</t>
  </si>
  <si>
    <t xml:space="preserve">          Capacitaciones con costo</t>
  </si>
  <si>
    <t xml:space="preserve">      Envío corresp. Capacitac.sin costo</t>
  </si>
  <si>
    <t xml:space="preserve">     Serv.lavada manteles Cartago</t>
  </si>
  <si>
    <t xml:space="preserve">     Serv.lavada manteles La Unión</t>
  </si>
  <si>
    <t xml:space="preserve">                 Tubos lámparas ($5,500/und.)</t>
  </si>
  <si>
    <t xml:space="preserve">      Publicidad capacitaciones</t>
  </si>
  <si>
    <t xml:space="preserve">       Aires (6 unds. A $70,000/und.) </t>
  </si>
  <si>
    <t>Alojamiento por Capacitacion y auditorios)</t>
  </si>
  <si>
    <t>Alojamiento Presidenta Ejecutiva diligencias varias</t>
  </si>
  <si>
    <t xml:space="preserve">          Pasajes  por afiliados y auditorios</t>
  </si>
  <si>
    <t xml:space="preserve">          Pasajes  varios diligencia Presidenta Ejecutiva</t>
  </si>
  <si>
    <t xml:space="preserve">     Pasajes varios Presidenta Ejecutiva</t>
  </si>
  <si>
    <t xml:space="preserve">          Rest.por alquiler auditorios</t>
  </si>
  <si>
    <t xml:space="preserve">          Rest.por jornada laboral</t>
  </si>
  <si>
    <t>Participación Feria Exponegocios</t>
  </si>
  <si>
    <t>Otros honorarios</t>
  </si>
  <si>
    <t xml:space="preserve">Impuesto descontable </t>
  </si>
  <si>
    <t>Maquinaria y equipo</t>
  </si>
  <si>
    <t>Maquinaria y equpo</t>
  </si>
  <si>
    <t>Comisiones y chequeras</t>
  </si>
  <si>
    <t>AÑO 2013</t>
  </si>
  <si>
    <t>CAPACTACIONES Y OTROS</t>
  </si>
  <si>
    <t xml:space="preserve">       Asocámaras (Cobro cuatrimestre) y otros</t>
  </si>
  <si>
    <t>Pasajes terrestres</t>
  </si>
  <si>
    <t>Buses y taxis</t>
  </si>
  <si>
    <t>AÑO 2012</t>
  </si>
  <si>
    <t>VARIACION EN $</t>
  </si>
  <si>
    <t>.........RETEIVA COMPRA/SERVICIO 15%</t>
  </si>
  <si>
    <t>.........IMPUESTO AL CONSUMO</t>
  </si>
  <si>
    <t>Alquiler espacio condensadoras La Unión</t>
  </si>
  <si>
    <t>Alquiler canal único contingencia (UNE)</t>
  </si>
  <si>
    <t xml:space="preserve">        Suscripción Actualícese.com</t>
  </si>
  <si>
    <t>............DSCT ART. 7 LEY 1429-50%-RENOV</t>
  </si>
  <si>
    <t>..........RENOVACION INSCRIPCION ESAL</t>
  </si>
  <si>
    <t>.......DIVIDENDOS Y PARTICIPACIONES</t>
  </si>
  <si>
    <t>IPC PROYECTADO AÑO 2014</t>
  </si>
  <si>
    <t>Trabajos litograficos</t>
  </si>
  <si>
    <t xml:space="preserve">      Encuentas de satisfacción</t>
  </si>
  <si>
    <t xml:space="preserve">     Hospedaje auditor de Icontec</t>
  </si>
  <si>
    <t xml:space="preserve">     Brigadas para la formalización</t>
  </si>
  <si>
    <t xml:space="preserve">       Viáticos Reconocimiento empresarios</t>
  </si>
  <si>
    <t xml:space="preserve">       Viáticos Rutas Competitivas</t>
  </si>
  <si>
    <t xml:space="preserve">         suscripción Auditool</t>
  </si>
  <si>
    <t xml:space="preserve">           Reconocimiento empresarios</t>
  </si>
  <si>
    <t xml:space="preserve">           Capacitaciones gratuitas</t>
  </si>
  <si>
    <t>OTROS PUBLICOS</t>
  </si>
  <si>
    <t xml:space="preserve">       Renovacion Licencia UTM y Wireless</t>
  </si>
  <si>
    <t xml:space="preserve">      Correo reconocimiento empresarios</t>
  </si>
  <si>
    <t xml:space="preserve">                         Espacio  Stand Feria Universitaria</t>
  </si>
  <si>
    <t xml:space="preserve">      Publicidad Feria Universitaria</t>
  </si>
  <si>
    <t xml:space="preserve">Trabajos litograficos </t>
  </si>
  <si>
    <t>Alojamiento personal invitado Feria</t>
  </si>
  <si>
    <t xml:space="preserve">          Refrigerios feria universitaria</t>
  </si>
  <si>
    <t xml:space="preserve">      Correo entrega de revista</t>
  </si>
  <si>
    <t>......COMISIONES</t>
  </si>
  <si>
    <t xml:space="preserve">         Inversiones Club Campestre</t>
  </si>
  <si>
    <t xml:space="preserve">     Serv.mesero eventos varios</t>
  </si>
  <si>
    <t>Actividades por bienestar empelados</t>
  </si>
  <si>
    <t>Gastos de representación Presidencia</t>
  </si>
  <si>
    <t>Obsequios cumpleaños varios</t>
  </si>
  <si>
    <t xml:space="preserve">      Envío corresp. Capacitac.con costo</t>
  </si>
  <si>
    <t>.......DIVIDENDOS</t>
  </si>
  <si>
    <t>Trabajos litográficos</t>
  </si>
  <si>
    <t xml:space="preserve">         Club Campestre</t>
  </si>
  <si>
    <t>DIVERSOS-VINCULACIONES</t>
  </si>
  <si>
    <t>OTROS</t>
  </si>
  <si>
    <t>INGRESOS PUBLICOS</t>
  </si>
  <si>
    <t>EGRESOS PUBLICOS</t>
  </si>
  <si>
    <t>EXCED/DEF PUBLICO</t>
  </si>
  <si>
    <t>INGRESOS PRIVADOS</t>
  </si>
  <si>
    <t>EGERESOS PRIVADOS</t>
  </si>
  <si>
    <t>EXCED/DEF PRIVADO</t>
  </si>
  <si>
    <t>VAR $</t>
  </si>
  <si>
    <t>VAR %</t>
  </si>
  <si>
    <t>EXCE/DEFI TOTAL</t>
  </si>
  <si>
    <t>EGRESOS</t>
  </si>
  <si>
    <t>UTILIDAD OPERATIVA</t>
  </si>
  <si>
    <t>Interes de la deuda</t>
  </si>
  <si>
    <t xml:space="preserve">Depreciaciones </t>
  </si>
  <si>
    <t>Amortizaciones</t>
  </si>
  <si>
    <t>PUBLICOS</t>
  </si>
  <si>
    <t>PRIVADOS</t>
  </si>
  <si>
    <t>FLUJO DE CAJA BRUTO</t>
  </si>
  <si>
    <t>VARIACION EN %</t>
  </si>
  <si>
    <t>COMPARATIVO AÑOS</t>
  </si>
  <si>
    <t>AÑO 2007</t>
  </si>
  <si>
    <t>AÑO 2009</t>
  </si>
  <si>
    <t>AÑO 2010</t>
  </si>
  <si>
    <t>AÑO 2011</t>
  </si>
  <si>
    <t>Apoyos</t>
  </si>
  <si>
    <t>..........REGISTRO DE PROPONENTES</t>
  </si>
  <si>
    <t>..........REGISTRO DE LAS ESAL</t>
  </si>
  <si>
    <t>..........INTERESES</t>
  </si>
  <si>
    <t>..........DIVIDENDOS</t>
  </si>
  <si>
    <t>UTILIDAD/DEFICIT NETO</t>
  </si>
  <si>
    <t>PUBLICO</t>
  </si>
  <si>
    <t>PRIVADO</t>
  </si>
  <si>
    <t>Distribución de ingresos</t>
  </si>
  <si>
    <t>Ingresos públicos</t>
  </si>
  <si>
    <t>Ingresos privados</t>
  </si>
  <si>
    <t>..........INTERESES-CONVENIOS</t>
  </si>
  <si>
    <t>HONORARIOS PUBLICOS</t>
  </si>
  <si>
    <t>ARRENDAMIENTOS PUBLICOS</t>
  </si>
  <si>
    <t>HONORARIOS PRIVADOS</t>
  </si>
  <si>
    <t>Capacitaciones</t>
  </si>
  <si>
    <t>Programa de afiliados</t>
  </si>
  <si>
    <t>SERVICIOS PRIVADOS</t>
  </si>
  <si>
    <t>DIVERSOS PRIVADO</t>
  </si>
  <si>
    <t>SEGUROS PUBLICOS</t>
  </si>
  <si>
    <t>Responsabilidad Civil Extracontractual</t>
  </si>
  <si>
    <t>Vr Asegurado</t>
  </si>
  <si>
    <t>Cartago</t>
  </si>
  <si>
    <t>Roldanillo</t>
  </si>
  <si>
    <t>La Unión</t>
  </si>
  <si>
    <t>Equipo electrónico portátil</t>
  </si>
  <si>
    <t xml:space="preserve">           Servicio de perifoneo jornadas registrales y Cámara en su barrio</t>
  </si>
  <si>
    <t>Rubro</t>
  </si>
  <si>
    <t>Nombre</t>
  </si>
  <si>
    <t>Ppto enero</t>
  </si>
  <si>
    <t>Ppto febrero</t>
  </si>
  <si>
    <t>Ppto marzo</t>
  </si>
  <si>
    <t>Ppto abril</t>
  </si>
  <si>
    <t>Ppto mayo</t>
  </si>
  <si>
    <t>Ppto junio</t>
  </si>
  <si>
    <t>Ppto julio</t>
  </si>
  <si>
    <t>Ppto agosto</t>
  </si>
  <si>
    <t>Ppto septiembre</t>
  </si>
  <si>
    <t>Ppto octubre</t>
  </si>
  <si>
    <t>Ppto noviembre</t>
  </si>
  <si>
    <t>Ppto diciembre</t>
  </si>
  <si>
    <t>Ppto total</t>
  </si>
  <si>
    <t>INVERSIONES EN ACTIVOS - PUBLICAS</t>
  </si>
  <si>
    <t>MUEBLES Y ENSERES</t>
  </si>
  <si>
    <t>EQUIPO DE COMPUTO Y COMUNICACIONES</t>
  </si>
  <si>
    <t>computadores de escritorio *</t>
  </si>
  <si>
    <t>Rack para servidores</t>
  </si>
  <si>
    <t>EQUIPO DE OFICINA</t>
  </si>
  <si>
    <t>FLOTA Y EQUIPO DE TRANSPORTE</t>
  </si>
  <si>
    <t>INVERSIONES EN ACTIVOS - PRIVADAS</t>
  </si>
  <si>
    <t>PRESUPUESTO</t>
  </si>
  <si>
    <t>........DEVOLUCIONES LEY 1429</t>
  </si>
  <si>
    <t>..........DEVOLUCIONES LEY 1429</t>
  </si>
  <si>
    <t xml:space="preserve">       VENTA DE LIBROS Y HOJAS</t>
  </si>
  <si>
    <t xml:space="preserve">       VENTA DE PUBLICIDAD REVISTA 1</t>
  </si>
  <si>
    <t xml:space="preserve">       VENTA DE PUBLICIDAD REVISTA 2</t>
  </si>
  <si>
    <t xml:space="preserve">                  Otros</t>
  </si>
  <si>
    <t>INGRESOS EJERCICIOS ANTERIORES</t>
  </si>
  <si>
    <t xml:space="preserve">                  Vinculaciones Publicidad Stand</t>
  </si>
  <si>
    <t>Procesos de selección</t>
  </si>
  <si>
    <t>Costumbre mercantil</t>
  </si>
  <si>
    <t>Alquiler plataforma Internet Consultnetwork</t>
  </si>
  <si>
    <t xml:space="preserve">               Consultoría Certificámaras</t>
  </si>
  <si>
    <t xml:space="preserve">       Contribución Contraloría (Control fiscal)</t>
  </si>
  <si>
    <t xml:space="preserve">        Confecámaras (cuota sostenimiento)</t>
  </si>
  <si>
    <t xml:space="preserve">        Afiliación Icontec</t>
  </si>
  <si>
    <t>Poliza del Vehiculo de Cámara</t>
  </si>
  <si>
    <t xml:space="preserve">      Serv.celular Claro</t>
  </si>
  <si>
    <t xml:space="preserve">      Serv.celular movistar</t>
  </si>
  <si>
    <t xml:space="preserve">      Serv. Telef fijo Movistar Ctgo</t>
  </si>
  <si>
    <t xml:space="preserve">        Kit mantenimiento impresora</t>
  </si>
  <si>
    <t xml:space="preserve">        Mantenim. Impresoras lasser</t>
  </si>
  <si>
    <t xml:space="preserve">        Mantenim. UPS</t>
  </si>
  <si>
    <t xml:space="preserve">        Kit scanner</t>
  </si>
  <si>
    <t xml:space="preserve">         Suscripción Jurisprudencia</t>
  </si>
  <si>
    <t xml:space="preserve">           Consumos varios</t>
  </si>
  <si>
    <t xml:space="preserve">           Brigadas para la formalización</t>
  </si>
  <si>
    <t xml:space="preserve">           Ruedas de prensa</t>
  </si>
  <si>
    <t xml:space="preserve">           Junta Directiva</t>
  </si>
  <si>
    <t xml:space="preserve">           Auditoría de calidad</t>
  </si>
  <si>
    <t xml:space="preserve">           Proyecto Tenderos</t>
  </si>
  <si>
    <t xml:space="preserve">       Placas reconocimiento empresarios</t>
  </si>
  <si>
    <t xml:space="preserve">       Amplificación eventos de reconocimiento</t>
  </si>
  <si>
    <t xml:space="preserve">       Meseros y flores eventos de reconocimiento</t>
  </si>
  <si>
    <t>Vehiculos</t>
  </si>
  <si>
    <t xml:space="preserve">        Firma Digital  Certicámara </t>
  </si>
  <si>
    <t xml:space="preserve">               Servicio verificacion de identidad (Sipref 200 consultas al mes)</t>
  </si>
  <si>
    <t xml:space="preserve">CONTRIBUCIONES </t>
  </si>
  <si>
    <t xml:space="preserve">     Direccion Administrativa y Financiera</t>
  </si>
  <si>
    <t xml:space="preserve">     Tiquetes Asamblea Confecámaras</t>
  </si>
  <si>
    <t xml:space="preserve">     Tiquetes Rutas Competitivas</t>
  </si>
  <si>
    <t xml:space="preserve">     Tiquetes Coord. Comunicaciones</t>
  </si>
  <si>
    <t xml:space="preserve">     Tiquete Coordinador de calidad</t>
  </si>
  <si>
    <t xml:space="preserve">     Serv Vigilancia Feria Universitaria</t>
  </si>
  <si>
    <t xml:space="preserve">     Serv Vigilancia auditorios</t>
  </si>
  <si>
    <t xml:space="preserve">      Entrega de requerimientos deposito ef</t>
  </si>
  <si>
    <t xml:space="preserve">      Impresión revista institucional</t>
  </si>
  <si>
    <t xml:space="preserve">      Plegables para Capacitaciones</t>
  </si>
  <si>
    <t xml:space="preserve">       Imprevistos</t>
  </si>
  <si>
    <t xml:space="preserve">      Carnet de afiliados</t>
  </si>
  <si>
    <t xml:space="preserve">          Entrega credenciales afiliados</t>
  </si>
  <si>
    <t>Flores varias-decoración oficinas</t>
  </si>
  <si>
    <t xml:space="preserve">           González N. Juan C.. (La Chiva))</t>
  </si>
  <si>
    <t xml:space="preserve">           CNC Noticias Eridis Esther</t>
  </si>
  <si>
    <t xml:space="preserve">           Pautas Candela Stereo Renovación</t>
  </si>
  <si>
    <t xml:space="preserve">      Fotos para la revista</t>
  </si>
  <si>
    <t xml:space="preserve">          Desayunos Empresariales-Afiliados</t>
  </si>
  <si>
    <t>Vehiculo</t>
  </si>
  <si>
    <t>Libros, suscripciones</t>
  </si>
  <si>
    <t>......... OTROS</t>
  </si>
  <si>
    <t xml:space="preserve">      Compite 360</t>
  </si>
  <si>
    <t xml:space="preserve">       COMPITE 360</t>
  </si>
  <si>
    <t xml:space="preserve">       Pintura externa edificio principal</t>
  </si>
  <si>
    <t xml:space="preserve">     Transporte auditor Icontec-Auditoría seguimiento y ampliación</t>
  </si>
  <si>
    <t>.......DIVERSOS</t>
  </si>
  <si>
    <t>AÑO 2014</t>
  </si>
  <si>
    <t>Scanner sistema gestion documental</t>
  </si>
  <si>
    <t>Impresora HP Mobile printer (Para jornadas de registro)</t>
  </si>
  <si>
    <t>Egresos Públicos</t>
  </si>
  <si>
    <t>Egresos Privados</t>
  </si>
  <si>
    <t>RESUMEN EJECUCION PRESUPUESTAL</t>
  </si>
  <si>
    <t>EJECUCIÓN</t>
  </si>
  <si>
    <t>EGRESOS PRIVADOS</t>
  </si>
  <si>
    <t>DIFERENCIA</t>
  </si>
  <si>
    <t>%</t>
  </si>
  <si>
    <t xml:space="preserve">           Pauta Canal UNE</t>
  </si>
  <si>
    <t>IPC PROYECTADO AÑO 2016</t>
  </si>
  <si>
    <t>............CAPTL.MATRIM Y LIQUID.SOCD.CON</t>
  </si>
  <si>
    <t>....FINANCIEROS (INTERESES)</t>
  </si>
  <si>
    <t>Impuesto de Vehículos</t>
  </si>
  <si>
    <t>Alquiler espacio archivo (Iron Mountain)</t>
  </si>
  <si>
    <t>Sistema de Mensajeria Audicom (Musicar)</t>
  </si>
  <si>
    <t>Sistema Mensajes en Pantallas (Musicar)</t>
  </si>
  <si>
    <t xml:space="preserve">        Afiliación Comité Intergremial del Vale</t>
  </si>
  <si>
    <t xml:space="preserve">               Nuevos Desarrollos</t>
  </si>
  <si>
    <t xml:space="preserve">               Aplicativo JSP7</t>
  </si>
  <si>
    <t xml:space="preserve">               Aporte Regimen Legal Virtual</t>
  </si>
  <si>
    <t xml:space="preserve">               Gestión Documental fase 2</t>
  </si>
  <si>
    <t xml:space="preserve">      Canal de contingencia de Roldanillo</t>
  </si>
  <si>
    <t xml:space="preserve">      Canal de contingencia de La Unión</t>
  </si>
  <si>
    <t xml:space="preserve">      Canal Sirep (UNE)</t>
  </si>
  <si>
    <t xml:space="preserve">      Elaboración Informe de Gestión</t>
  </si>
  <si>
    <t xml:space="preserve">      Hojas y sobres menbreteadas</t>
  </si>
  <si>
    <t xml:space="preserve">      Pendones institucionales</t>
  </si>
  <si>
    <t xml:space="preserve">      Cuadernos institucionales (1000)</t>
  </si>
  <si>
    <t xml:space="preserve">      Lapiceros corporativos (3000)</t>
  </si>
  <si>
    <t xml:space="preserve">           Periódico Cartago Hoy (El país)</t>
  </si>
  <si>
    <t xml:space="preserve">           Cartago Stereo (Edgar Arroyabe)</t>
  </si>
  <si>
    <t xml:space="preserve">           Pauta Pantalla Digital La Unión</t>
  </si>
  <si>
    <t xml:space="preserve">           Video promocional del Norte del Valle  - 5 minutos</t>
  </si>
  <si>
    <t xml:space="preserve">          20 fotos profesionales para eventos varios de Cámara</t>
  </si>
  <si>
    <t xml:space="preserve">          60 Fotos "Reconocimiento empresarial en municipios"</t>
  </si>
  <si>
    <t xml:space="preserve">          Videos homenaje Reconocimiento Empresarial </t>
  </si>
  <si>
    <t xml:space="preserve">           Marcación telefónica masica (Ikono)</t>
  </si>
  <si>
    <t xml:space="preserve">          Mensajeria de texto de Registros</t>
  </si>
  <si>
    <t xml:space="preserve">       Mantenimiento de Aires (23 unds.) </t>
  </si>
  <si>
    <t xml:space="preserve">       Recarga extintores</t>
  </si>
  <si>
    <t xml:space="preserve">       Adecuación archivo Central</t>
  </si>
  <si>
    <t xml:space="preserve">                 Tubos lámparas </t>
  </si>
  <si>
    <t xml:space="preserve">                 Balastas</t>
  </si>
  <si>
    <t xml:space="preserve">                 Mantenimientos varios Electricos</t>
  </si>
  <si>
    <t xml:space="preserve">        Mantenimiento de Camaras de Seguridad</t>
  </si>
  <si>
    <t xml:space="preserve">        Insumos y herramientas equipos de computo</t>
  </si>
  <si>
    <t xml:space="preserve">        Baterias para UPS</t>
  </si>
  <si>
    <t>Servicio alquiler impresora y 3 equipos para caja en temporada de renovacion</t>
  </si>
  <si>
    <t xml:space="preserve">                 Mantenimiento subestación  eléctrica</t>
  </si>
  <si>
    <t xml:space="preserve">         Renovación Código de Comercio-condigo contencioso</t>
  </si>
  <si>
    <t xml:space="preserve">          Combustible Planta Electrica</t>
  </si>
  <si>
    <t xml:space="preserve">          Combustible Vehículo Camara</t>
  </si>
  <si>
    <t xml:space="preserve">           Almuerzos Jornada de renovación</t>
  </si>
  <si>
    <t>Parqueaderos Vehiculo Cámara</t>
  </si>
  <si>
    <t xml:space="preserve">     Hospedaje Asamblea Confecámaras</t>
  </si>
  <si>
    <t xml:space="preserve">     Hospedaje Comunicaciones</t>
  </si>
  <si>
    <t>Permisos legales Camara en su Barrio</t>
  </si>
  <si>
    <t xml:space="preserve">           Camara en su Barrio</t>
  </si>
  <si>
    <t xml:space="preserve">           Jornada en Municipios</t>
  </si>
  <si>
    <t xml:space="preserve">     Tiquetes dia del periodista</t>
  </si>
  <si>
    <t xml:space="preserve">       Viáticos Asamblea Confecámaras</t>
  </si>
  <si>
    <t xml:space="preserve">       Viáticos Comunicaciones</t>
  </si>
  <si>
    <t xml:space="preserve">       Viáticos Presidencia</t>
  </si>
  <si>
    <t xml:space="preserve">       Viáticos área administriva</t>
  </si>
  <si>
    <t xml:space="preserve">       Viáticos Comité Dir Administrativos</t>
  </si>
  <si>
    <t xml:space="preserve">       Viáticos Registro público </t>
  </si>
  <si>
    <t xml:space="preserve">       Viáticos jornadas de registro</t>
  </si>
  <si>
    <t xml:space="preserve">       Fumigacion</t>
  </si>
  <si>
    <t>Alquiler salon eventos reconocimiento</t>
  </si>
  <si>
    <t xml:space="preserve">          Cuñas radiales evento reconocimiento</t>
  </si>
  <si>
    <t>Montaje evento reconocimiento Cartago</t>
  </si>
  <si>
    <t xml:space="preserve">       Contribución Proyectos</t>
  </si>
  <si>
    <t xml:space="preserve">       Mantenimiento vehiculo</t>
  </si>
  <si>
    <t xml:space="preserve">     Transporte meseros y equipos reconocimiento</t>
  </si>
  <si>
    <t xml:space="preserve">Caso penal </t>
  </si>
  <si>
    <t>Caso laboral</t>
  </si>
  <si>
    <t>EQUIPO DE COMPUT Y COMUNICACIONES</t>
  </si>
  <si>
    <t>Afiliados</t>
  </si>
  <si>
    <t>Informacion Comercial</t>
  </si>
  <si>
    <t>Deposito de Estados Financieros</t>
  </si>
  <si>
    <t>Copias y Fotocopias</t>
  </si>
  <si>
    <t>Venta de libros y hojas</t>
  </si>
  <si>
    <t>Intereses</t>
  </si>
  <si>
    <t>Alquiler de Auditorios</t>
  </si>
  <si>
    <t>Servicios de Cafeteria</t>
  </si>
  <si>
    <t>Vinculaciones Publicitarias</t>
  </si>
  <si>
    <t>COMPITE 360</t>
  </si>
  <si>
    <t>OTROS ALQUILERES MUSICAR</t>
  </si>
  <si>
    <t xml:space="preserve">      Talonarios</t>
  </si>
  <si>
    <t xml:space="preserve">      Canjes Revista</t>
  </si>
  <si>
    <t xml:space="preserve">       Otros mantenimeitnos varias</t>
  </si>
  <si>
    <t xml:space="preserve">       Mantenimeitno filtro de agua</t>
  </si>
  <si>
    <t>.........GRAVAMEN DEL 4XMIL-PRIVADO</t>
  </si>
  <si>
    <t>......CHEQUERAS</t>
  </si>
  <si>
    <t>ingreso</t>
  </si>
  <si>
    <t>gasto</t>
  </si>
  <si>
    <t xml:space="preserve">          Refrigerios Compite 360</t>
  </si>
  <si>
    <t>Evento reconocimiento 2015</t>
  </si>
  <si>
    <t xml:space="preserve">      Compite</t>
  </si>
  <si>
    <t xml:space="preserve">       Viaticos Brigadas para la formalizacion</t>
  </si>
  <si>
    <t xml:space="preserve">      Videos homenaje Reconocimiento Empresarial </t>
  </si>
  <si>
    <t xml:space="preserve">      60 Fotos "Reconocimiento empresarial en municipios"</t>
  </si>
  <si>
    <t xml:space="preserve">      Cuñas radiales evento reconocimiento</t>
  </si>
  <si>
    <t xml:space="preserve">          Reconocimiento empresarios</t>
  </si>
  <si>
    <t>Placas reconocimiento empresarios</t>
  </si>
  <si>
    <t>Presentacion artistica reconocimiento empresarios</t>
  </si>
  <si>
    <t>Amplificación eventos de reconocimiento</t>
  </si>
  <si>
    <t>Meseros y flores eventos de reconocimiento</t>
  </si>
  <si>
    <t xml:space="preserve">      Carpetas institucionales (10000)</t>
  </si>
  <si>
    <t xml:space="preserve">         Comité Intergremial del Valle</t>
  </si>
  <si>
    <t xml:space="preserve">        Proyectos</t>
  </si>
  <si>
    <t>Impuesto Vehiculo</t>
  </si>
  <si>
    <t>AÑO 2016</t>
  </si>
  <si>
    <t>PY AÑO 2015</t>
  </si>
  <si>
    <t>Lectores de huella (6 pendientes)</t>
  </si>
  <si>
    <t xml:space="preserve">Rack para servidores </t>
  </si>
  <si>
    <t>Planta telefonica</t>
  </si>
  <si>
    <t>ADECUACIONES</t>
  </si>
  <si>
    <t>AÑO 2008</t>
  </si>
  <si>
    <t xml:space="preserve">SERVICIOS </t>
  </si>
  <si>
    <t xml:space="preserve">DIVERSOS </t>
  </si>
  <si>
    <t>CONTIBUCIONES Y AFILIACIONES</t>
  </si>
  <si>
    <t xml:space="preserve">               Participación Asamblea Confecámaras</t>
  </si>
  <si>
    <t xml:space="preserve">               Servicio verificacion de identidad (Sipref)</t>
  </si>
  <si>
    <t>Compite 360</t>
  </si>
  <si>
    <t>GASTOS NO OPERACIONALES PRIVADO</t>
  </si>
  <si>
    <t xml:space="preserve">1 Impresora HP Mobile printer </t>
  </si>
  <si>
    <t xml:space="preserve">     Tiquetes aereos Alianzas para la innovación</t>
  </si>
  <si>
    <t xml:space="preserve">           Alianzas para la innovación</t>
  </si>
  <si>
    <t>Salarios</t>
  </si>
  <si>
    <t>Prestaciones Sociales</t>
  </si>
  <si>
    <t>Capacitaciones Internas al personal</t>
  </si>
  <si>
    <t>Dotación</t>
  </si>
  <si>
    <t>Salud Ocupacional</t>
  </si>
  <si>
    <t>GASTOS DE PERSONAL PUBLICOS</t>
  </si>
  <si>
    <t>IPC PROYECTADO AÑO 2017</t>
  </si>
  <si>
    <t>PRESUPUESTO DE  AÑO 2017</t>
  </si>
  <si>
    <t>py cierre 2016</t>
  </si>
  <si>
    <t>total 2017</t>
  </si>
  <si>
    <t>% 2017 vs 2016</t>
  </si>
  <si>
    <t>Diagramacion cartilla estatutos</t>
  </si>
  <si>
    <t>Consultoria SG-SST</t>
  </si>
  <si>
    <t>Consultoria Evaluacion por competencias</t>
  </si>
  <si>
    <t>IVA DESCONTABLE DEL 16%</t>
  </si>
  <si>
    <t>IMPUESTO AL CONSUMO</t>
  </si>
  <si>
    <t xml:space="preserve">               Gestión Documental fase 3</t>
  </si>
  <si>
    <t xml:space="preserve">     Vigilancia adicional oficinas (renovacion)</t>
  </si>
  <si>
    <t xml:space="preserve">      Serv.internet tablet competitividad</t>
  </si>
  <si>
    <t xml:space="preserve">      Serv.internet tablet</t>
  </si>
  <si>
    <t xml:space="preserve">      Planta telefonica</t>
  </si>
  <si>
    <t xml:space="preserve">      Libretas institucionales (10.000)</t>
  </si>
  <si>
    <t xml:space="preserve">           Norteestereo</t>
  </si>
  <si>
    <t xml:space="preserve">           Cesar Vallejo </t>
  </si>
  <si>
    <t xml:space="preserve">           Diseño Mensual de piezas</t>
  </si>
  <si>
    <t xml:space="preserve">          Campaña de renovación 2017</t>
  </si>
  <si>
    <t xml:space="preserve">           Realización comerciales renovacion</t>
  </si>
  <si>
    <t xml:space="preserve">          Correos masivos campañas</t>
  </si>
  <si>
    <t xml:space="preserve">           Pautas CNC Roldanillo (Yulieth Galeano)</t>
  </si>
  <si>
    <t xml:space="preserve">           Notidía (Fundacion parador del bordado)</t>
  </si>
  <si>
    <t xml:space="preserve">          Videos eventos</t>
  </si>
  <si>
    <t xml:space="preserve">        Repuestos Planta electrica</t>
  </si>
  <si>
    <t xml:space="preserve">     Hospedaje Competitividad</t>
  </si>
  <si>
    <t xml:space="preserve">     Hospedaje Control interno</t>
  </si>
  <si>
    <t xml:space="preserve">     Hospedaje Gestión documental</t>
  </si>
  <si>
    <t xml:space="preserve">     Hospedaje Sistemas</t>
  </si>
  <si>
    <t xml:space="preserve">     Tiquetes Competitividad</t>
  </si>
  <si>
    <t xml:space="preserve">     Hospedaje Direccion juridica</t>
  </si>
  <si>
    <t xml:space="preserve">     Hospedajes  Presidenta </t>
  </si>
  <si>
    <t xml:space="preserve">     Tiquete Direccion admitiva</t>
  </si>
  <si>
    <t xml:space="preserve">     Tiquete   Sistemas</t>
  </si>
  <si>
    <t xml:space="preserve">     Tiquete Direccion Juridica</t>
  </si>
  <si>
    <t xml:space="preserve">     Tiquetes Presidencia</t>
  </si>
  <si>
    <t xml:space="preserve">     Tiquetes Capacitacion BSC</t>
  </si>
  <si>
    <t xml:space="preserve">     Transporte Administrativo</t>
  </si>
  <si>
    <t xml:space="preserve">       Viáticos Competitividad</t>
  </si>
  <si>
    <t xml:space="preserve">       Viaticos Control interno</t>
  </si>
  <si>
    <t xml:space="preserve">       Viaticos alianzas para la innovacion</t>
  </si>
  <si>
    <t xml:space="preserve">       Viaticos Emprendimiento</t>
  </si>
  <si>
    <t xml:space="preserve">       Uso Huella verificacion</t>
  </si>
  <si>
    <t xml:space="preserve">       Alquiler evento reconocimiento empresarios</t>
  </si>
  <si>
    <t>Retencion en la fuente</t>
  </si>
  <si>
    <t>Sistema intregrado de Gestión</t>
  </si>
  <si>
    <t>Cliente incognito</t>
  </si>
  <si>
    <t xml:space="preserve">           Radio Robledo</t>
  </si>
  <si>
    <t xml:space="preserve">           NVC</t>
  </si>
  <si>
    <t xml:space="preserve">          Video evento día del peridista</t>
  </si>
  <si>
    <t xml:space="preserve">      Cartulinas</t>
  </si>
  <si>
    <t>…………..DESCUENTO 100% LEY 1780</t>
  </si>
  <si>
    <t>EVENTO RECONOCIMIENTO CARTAGO</t>
  </si>
  <si>
    <t xml:space="preserve">      Reconocimiento Cartago</t>
  </si>
  <si>
    <t>IPC PROYECTADO  7%</t>
  </si>
  <si>
    <t>PRESUPUESTO DE INGRESOS PRIVADOS AÑO 2017</t>
  </si>
  <si>
    <t>......TEMPORALES</t>
  </si>
  <si>
    <t>......AUXILIOS APORTES DIRECTIVOS</t>
  </si>
  <si>
    <t>............DSCT ART 7 LEY 1780</t>
  </si>
  <si>
    <t xml:space="preserve">       Convenios Encuesta pyme</t>
  </si>
  <si>
    <t>Ges Turismo Honorarios</t>
  </si>
  <si>
    <t xml:space="preserve">           Emprendimiento</t>
  </si>
  <si>
    <t xml:space="preserve">     Tiquete Emprendedor</t>
  </si>
  <si>
    <t xml:space="preserve">     Hospedaje emprendedor</t>
  </si>
  <si>
    <t xml:space="preserve">       Viaticos capacitaciones gratuitas</t>
  </si>
  <si>
    <t>Honorarios capacitaciones gratuitas</t>
  </si>
  <si>
    <t xml:space="preserve">     Afiliados</t>
  </si>
  <si>
    <t>Alojamiento Compite 360</t>
  </si>
  <si>
    <t>......INTERESES</t>
  </si>
  <si>
    <t>......COMISION</t>
  </si>
  <si>
    <t xml:space="preserve">          GES</t>
  </si>
  <si>
    <t xml:space="preserve">          Conciliacion</t>
  </si>
  <si>
    <t>Elmentos auditorios</t>
  </si>
  <si>
    <t>Honorarios nutricion</t>
  </si>
  <si>
    <t>PRESUPUESTO DE INGRESOS PUBLICOS AÑO 2017</t>
  </si>
  <si>
    <t>......BONIFICACION</t>
  </si>
  <si>
    <t>AÑO 2017</t>
  </si>
  <si>
    <t>PY AÑO 2016</t>
  </si>
  <si>
    <t>PRESUPUESTO 2017</t>
  </si>
  <si>
    <t>FLUJO DE CAJA 2016</t>
  </si>
  <si>
    <t>Ejecución 2016</t>
  </si>
  <si>
    <t>FLUJO DE CAJA 2017</t>
  </si>
  <si>
    <t>Presupuesto año 2017</t>
  </si>
  <si>
    <t>Presupuesto 2017</t>
  </si>
  <si>
    <t>Caja post</t>
  </si>
  <si>
    <t>Carpa movil y sillas portatiles</t>
  </si>
  <si>
    <t>Pendiente luces tipo teatro</t>
  </si>
  <si>
    <t>tarima</t>
  </si>
  <si>
    <t>Tarima auditorios</t>
  </si>
  <si>
    <t>Computador tesorero</t>
  </si>
  <si>
    <t>Computador Coordinadora sistemas</t>
  </si>
  <si>
    <t>Portatil Director Administrativo</t>
  </si>
  <si>
    <t>Incentivo 2017</t>
  </si>
  <si>
    <t>GASTOS DE PERSONAL PRIVADOS</t>
  </si>
  <si>
    <t>Auxilio Vacaciones</t>
  </si>
  <si>
    <t>Auxilios</t>
  </si>
  <si>
    <t>Auxilio aportes Directivos</t>
  </si>
  <si>
    <t>MANTENIMIENTOS PUBLICOS</t>
  </si>
  <si>
    <t>Computador Coordinadora Serv Empresariales</t>
  </si>
  <si>
    <t>Computador Asesor Comercial</t>
  </si>
  <si>
    <t>3 equipos registros públicos</t>
  </si>
  <si>
    <t xml:space="preserve">      Auditorios</t>
  </si>
  <si>
    <t xml:space="preserve">       Viaticos Promotor de Competitividad</t>
  </si>
  <si>
    <t xml:space="preserve">           Ges</t>
  </si>
  <si>
    <t>luces auditorio</t>
  </si>
  <si>
    <t>.....COMISIONES COMERCIAL</t>
  </si>
  <si>
    <t>Comisiones Pomotor Competitividad</t>
  </si>
  <si>
    <t>CRECIMIENTO IPC 2017 VS 2016</t>
  </si>
  <si>
    <t>IPC 2017</t>
  </si>
  <si>
    <t>Depreciaciones</t>
  </si>
  <si>
    <t>Pintura interior del edificio</t>
  </si>
  <si>
    <t>Pintura externa edificio principal</t>
  </si>
  <si>
    <t>Alianzas para la innovación</t>
  </si>
  <si>
    <t>Viaticos Promotor de Turismo</t>
  </si>
  <si>
    <t>Salario Promotor de turismo</t>
  </si>
  <si>
    <t>Comisiones promotor de turismo</t>
  </si>
  <si>
    <t>Fotos evento reconocimiento Cartago</t>
  </si>
  <si>
    <t>Videos homenaje Reconocimiento Cartago</t>
  </si>
  <si>
    <t>Cuñas radiales reconocimiento Cartago</t>
  </si>
  <si>
    <t>Reconocimiento empresarios Cartago</t>
  </si>
  <si>
    <t>Placas reconocimiento empresarios Cartago</t>
  </si>
  <si>
    <t>Amplificación  reconocimiento Cartago</t>
  </si>
  <si>
    <t>Meseros y flores reconocimiento Cartago</t>
  </si>
  <si>
    <t xml:space="preserve">           Videos mensuales canal de you tube</t>
  </si>
  <si>
    <t>Tapete auditorio</t>
  </si>
  <si>
    <t>ADECUACIONES AUDITORIO</t>
  </si>
  <si>
    <t>ADECUACIONES EDIFICIO</t>
  </si>
  <si>
    <t>TOTAL DE INVERSIONES 2017</t>
  </si>
  <si>
    <t>Rieles</t>
  </si>
  <si>
    <t xml:space="preserve">CONCILIACION </t>
  </si>
  <si>
    <t>Bienestar Laboral</t>
  </si>
  <si>
    <t>Gastos de gestión</t>
  </si>
  <si>
    <t>Salario</t>
  </si>
  <si>
    <t>Mes</t>
  </si>
  <si>
    <t>Año</t>
  </si>
  <si>
    <t>Aportes</t>
  </si>
  <si>
    <t>Retencion</t>
  </si>
  <si>
    <t>Regalo de afiliados y registros</t>
  </si>
  <si>
    <t>......INCENTIVOS</t>
  </si>
  <si>
    <t>a</t>
  </si>
  <si>
    <t>Adecuacion locales</t>
  </si>
  <si>
    <t>INGRESOS TOTALES</t>
  </si>
  <si>
    <t>EGRESOS TOTALES</t>
  </si>
  <si>
    <t>EXCED/DEF TOTAL</t>
  </si>
  <si>
    <t>MATRICULAS</t>
  </si>
  <si>
    <t>RENOVACIONES</t>
  </si>
  <si>
    <t>INSCRIPCCIONES</t>
  </si>
  <si>
    <t>FORMULARIOS</t>
  </si>
  <si>
    <t>CERTIFICADOS</t>
  </si>
  <si>
    <t>PROPONENTES</t>
  </si>
  <si>
    <t>ESAL</t>
  </si>
  <si>
    <t>PALMIRA</t>
  </si>
  <si>
    <t>TULUA</t>
  </si>
  <si>
    <t>BUGA</t>
  </si>
  <si>
    <t>IPC</t>
  </si>
  <si>
    <t>PEREIRA</t>
  </si>
  <si>
    <t>CRECIMIENTO DE LOS INGRESOS PUBLICOS PARA EL AÑO 2017</t>
  </si>
  <si>
    <t>DOSQUEBRADAS</t>
  </si>
  <si>
    <t>CARTAGO</t>
  </si>
  <si>
    <t>SALARIO MINIMO</t>
  </si>
  <si>
    <t>CAPACITACIONES</t>
  </si>
  <si>
    <t>Plan de Mercadeo</t>
  </si>
  <si>
    <t>DISTRIBUCION JSP7</t>
  </si>
  <si>
    <t>............MATRICU.PERSONA NATURA.JURIDIC CARTAGO</t>
  </si>
  <si>
    <t>............MATRICU.PERSONA NATURA.JURIDIC LA UNION</t>
  </si>
  <si>
    <t>............MATRICU.PERSONA NATURA.JURIDIC ROLDANILLO</t>
  </si>
  <si>
    <t>............MATRICULA ESTABLECIMIENTO CARTAGO</t>
  </si>
  <si>
    <t>............MATRICULA ESTABLECIMIENTO LA UNION</t>
  </si>
  <si>
    <t>............MATRICULA ESTABLECIMIENTO ROLDANILLO</t>
  </si>
  <si>
    <t>…………..DESCUENTO 100% LEY 1780 CARTAGO</t>
  </si>
  <si>
    <t>…………..DESCUENTO 100% LEY 1780 LA UNION</t>
  </si>
  <si>
    <t>…………..DESCUENTO 100% LEY 1780 ROLDANILLO</t>
  </si>
  <si>
    <t>............RENOVA.PERSONA NATURAL.JURIDIC CARTAGO</t>
  </si>
  <si>
    <t>............RENOVA.PERSONA NATURAL.JURIDIC LA UNION</t>
  </si>
  <si>
    <t>............RENOVA.PERSONA NATURAL.JURIDIC ROLDANILLO</t>
  </si>
  <si>
    <t>............RENOVACION ESTABLECIMIENTOS CARTAGO</t>
  </si>
  <si>
    <t>............RENOVACION ESTABLECIMIENTOS LA UNION</t>
  </si>
  <si>
    <t>............RENOVACION ESTABLECIMIENTOS ROLDANILLO</t>
  </si>
  <si>
    <t>............CAPTL.MATRIM Y LIQUID.SOCD.CON CARTAGO</t>
  </si>
  <si>
    <t>............CAPTL.MATRIM Y LIQUID.SOCD.CON LA UNION</t>
  </si>
  <si>
    <t>............CAPTL.MATRIM Y LIQUID.SOCD.CON ROLDANILLO</t>
  </si>
  <si>
    <t>............INSCR.ADMINIST.BIENES COMERC CARTAGO</t>
  </si>
  <si>
    <t>............INSCR.ADMINIST.BIENES COMERC LA UNION</t>
  </si>
  <si>
    <t>............INSCR.ADMINIST.BIENES COMERC ROLDANILLO</t>
  </si>
  <si>
    <t>............INSCRI.ESTABLECI.DE COMERCIO CARTAGO</t>
  </si>
  <si>
    <t>............INSCRI.ESTABLECI.DE COMERCIO LA UNION</t>
  </si>
  <si>
    <t>............INSCRI.ESTABLECI.DE COMERCIO ROLDANILLO</t>
  </si>
  <si>
    <t>............INSCRI.LIBROS DE COMERCIO CARTAGO</t>
  </si>
  <si>
    <t>............INSCRI.LIBROS DE COMERCIO LA UNION</t>
  </si>
  <si>
    <t>............INSCRI.LIBROS DE COMERCIO ROLDANILLO</t>
  </si>
  <si>
    <t>............INSCRI.SOCIED.COMERC.E INST.FI CARTAGO</t>
  </si>
  <si>
    <t>............INSCRI.SOCIED.COMERC.E INST.FI LA UNION</t>
  </si>
  <si>
    <t>............INSCRI.SOCIED.COMERC.E INST.FI ROLDANILLO</t>
  </si>
  <si>
    <t>............INSCRI.MATRICU.Y MUTACIONES CARTAGO</t>
  </si>
  <si>
    <t>............INSCRI.MATRICU.Y MUTACIONES LA UNION</t>
  </si>
  <si>
    <t>............INSCRI.MATRICU.Y MUTACIONES ROLDANILLO</t>
  </si>
  <si>
    <t>............DERECHOS DE INSCRIP.ACTOS,DCMT CARTAGO</t>
  </si>
  <si>
    <t>............DERECHOS DE INSCRIP.ACTOS,DCMT LA UNION</t>
  </si>
  <si>
    <t>............DERECHOS DE INSCRIP.ACTOS,DCMT ROLDANILLO</t>
  </si>
  <si>
    <t>............INSCRI.CONCORDA,LIQUI.OBLIGATO ROLDANILLO</t>
  </si>
  <si>
    <t>............INSCRI.CONCORDA,LIQUI.OBLIGATO CARTAGO</t>
  </si>
  <si>
    <t>............INSCRI.CONCORDA,LIQUI.OBLIGATO LA UNION</t>
  </si>
  <si>
    <t>..........FORMULARIOS INSCRIPCION CARTAGO</t>
  </si>
  <si>
    <t>..........FORMULARIOS INSCRIPCION LAM UNION</t>
  </si>
  <si>
    <t>..........FORMULARIOS INSCRIPCION ROLDANILLO</t>
  </si>
  <si>
    <t>............CERTIFI.MATRICULA MERCANTIL CARTAGO</t>
  </si>
  <si>
    <t>............CERTIFI.MATRICULA MERCANTIL LA UNION</t>
  </si>
  <si>
    <t>............CERTIFI.MATRICULA MERCANTIL ROLDANILLO</t>
  </si>
  <si>
    <t>............CERTIFI.EXISTEN.REPRESENTACION CARTAGO</t>
  </si>
  <si>
    <t>............CERTIFI.EXISTEN.REPRESENTACION LA UNION</t>
  </si>
  <si>
    <t>............CERTIFI.EXISTEN.REPRESENTACION ROLDANILLO</t>
  </si>
  <si>
    <t>............CERTIFI.LIBROS DE COMERCIO CARTAGO</t>
  </si>
  <si>
    <t>............CERTIFI.LIBROS DE COMERCIO LA UNION</t>
  </si>
  <si>
    <t>............CERTIFI.LIBROS DE COMERCIO ROLDANILLO</t>
  </si>
  <si>
    <t>............CERTIFI.ESPECIALES CARTAGO</t>
  </si>
  <si>
    <t>............CERTIFI.ESPECIALES LA UNION</t>
  </si>
  <si>
    <t>............CERTIFI.ESPECIALES ROLDANILLO</t>
  </si>
  <si>
    <t>..........DERECHOS INSCRIP.PROPONENTE CARTAGO</t>
  </si>
  <si>
    <t>..........DERECHOS INSCRIP.PROPONENTELA UNION</t>
  </si>
  <si>
    <t>..........DERECHOS INSCRIP.PROPONENTE ROLDANILLO</t>
  </si>
  <si>
    <t>..........DERECHO RENOVACION PROPONENTE CARTAGO</t>
  </si>
  <si>
    <t>..........DERECHO RENOVACION PROPONENTE LA UNION</t>
  </si>
  <si>
    <t>..........DERECHO RENOVACION PROPONENTE ROLDANILLO</t>
  </si>
  <si>
    <t>..........ACTUALIZACION DE PROPONENTES CARTAGO</t>
  </si>
  <si>
    <t>..........CERTIFICADO PROPONENTE CARTAGO</t>
  </si>
  <si>
    <t>..........CERTIFICADO PROPONENTE LA UNION</t>
  </si>
  <si>
    <t>..........CERTIFICADO PROPONENTE ROLDANILLO</t>
  </si>
  <si>
    <t>..........DERECHO INSCRIPCION ESAL CARTAGO</t>
  </si>
  <si>
    <t>..........DERECHO INSCRIPCION ESALM LA UNION</t>
  </si>
  <si>
    <t>..........CERTIFICADOS ESAL CARTAGO</t>
  </si>
  <si>
    <t>..........CERTIFICADOS ESAL LA UNION</t>
  </si>
  <si>
    <t>..........CERTIFICADOS ESAL LA ROLDANILLO</t>
  </si>
  <si>
    <t>..........LIBROS E.S.A.L CARTAGO</t>
  </si>
  <si>
    <t>..........LIBROS E.S.A.L LA UNION</t>
  </si>
  <si>
    <t>..........LIBROS E.S.A.L ROLDANILLO</t>
  </si>
  <si>
    <t>..........RENOVACION INSCRIPCION ESAL CARTAGO</t>
  </si>
  <si>
    <t>..........RENOVACION INSCRIPCION ESAL LA UNION</t>
  </si>
  <si>
    <t>..........RENOVACION INSCRIPCION ESAL ROLDANILLO</t>
  </si>
  <si>
    <t>....FINANCIEROS (INTERESES) CARTAGO</t>
  </si>
  <si>
    <t>....FINANCIEROS (INTERESES) LA UNION</t>
  </si>
  <si>
    <t>....FINANCIEROS (INTERESES) ROLDANILLO</t>
  </si>
  <si>
    <t>registro jsp7</t>
  </si>
  <si>
    <t>Afiliados VIEJOS</t>
  </si>
  <si>
    <t>Sistema integrado</t>
  </si>
  <si>
    <t>PPTO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</si>
</sst>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\ _€_-;\-* #,##0.0\ _€_-;_-* &quot;-&quot;??\ _€_-;_-@_-"/>
    <numFmt numFmtId="167" formatCode="0.0%"/>
    <numFmt numFmtId="168" formatCode="_-* #,##0\ _$_-;\-* #,##0\ _$_-;_-* &quot;-&quot;??\ _$_-;_-@_-"/>
    <numFmt numFmtId="169" formatCode="_(* #,##0_);_(* \(#,##0\);_(* &quot;-&quot;??_);_(@_)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9"/>
      <color rgb="FF000000"/>
      <name val="Calibri"/>
      <family val="2"/>
    </font>
    <font>
      <u val="singleAccounting"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entury Gothic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3" fillId="0" borderId="0">
      <alignment/>
      <protection/>
    </xf>
  </cellStyleXfs>
  <cellXfs count="387">
    <xf numFmtId="0" fontId="0" fillId="0" borderId="0" xfId="0"/>
    <xf numFmtId="165" fontId="0" fillId="0" borderId="0" xfId="20" applyNumberFormat="1" applyFont="1"/>
    <xf numFmtId="0" fontId="2" fillId="0" borderId="0" xfId="0" applyFont="1"/>
    <xf numFmtId="165" fontId="2" fillId="0" borderId="0" xfId="20" applyNumberFormat="1" applyFont="1"/>
    <xf numFmtId="165" fontId="2" fillId="0" borderId="0" xfId="0" applyNumberFormat="1" applyFont="1"/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/>
    <xf numFmtId="165" fontId="3" fillId="0" borderId="1" xfId="20" applyNumberFormat="1" applyFont="1" applyFill="1" applyBorder="1"/>
    <xf numFmtId="165" fontId="3" fillId="0" borderId="1" xfId="0" applyNumberFormat="1" applyFont="1" applyFill="1" applyBorder="1"/>
    <xf numFmtId="165" fontId="4" fillId="0" borderId="1" xfId="20" applyNumberFormat="1" applyFont="1" applyFill="1" applyBorder="1"/>
    <xf numFmtId="165" fontId="3" fillId="0" borderId="1" xfId="20" applyNumberFormat="1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3" fillId="0" borderId="2" xfId="0" applyFont="1" applyFill="1" applyBorder="1"/>
    <xf numFmtId="165" fontId="4" fillId="0" borderId="0" xfId="0" applyNumberFormat="1" applyFont="1" applyFill="1"/>
    <xf numFmtId="165" fontId="3" fillId="0" borderId="0" xfId="2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165" fontId="3" fillId="0" borderId="1" xfId="20" applyNumberFormat="1" applyFont="1" applyFill="1" applyBorder="1" applyAlignment="1">
      <alignment horizontal="center" vertical="center" wrapText="1"/>
    </xf>
    <xf numFmtId="0" fontId="4" fillId="0" borderId="2" xfId="0" applyFont="1" applyFill="1" applyBorder="1"/>
    <xf numFmtId="165" fontId="4" fillId="0" borderId="1" xfId="0" applyNumberFormat="1" applyFont="1" applyFill="1" applyBorder="1"/>
    <xf numFmtId="0" fontId="3" fillId="0" borderId="3" xfId="0" applyFont="1" applyFill="1" applyBorder="1"/>
    <xf numFmtId="165" fontId="3" fillId="0" borderId="0" xfId="0" applyNumberFormat="1" applyFont="1" applyFill="1"/>
    <xf numFmtId="0" fontId="3" fillId="0" borderId="4" xfId="0" applyFont="1" applyFill="1" applyBorder="1"/>
    <xf numFmtId="165" fontId="3" fillId="0" borderId="5" xfId="20" applyNumberFormat="1" applyFont="1" applyFill="1" applyBorder="1"/>
    <xf numFmtId="0" fontId="0" fillId="0" borderId="0" xfId="0" applyFont="1"/>
    <xf numFmtId="165" fontId="0" fillId="0" borderId="0" xfId="20" applyNumberFormat="1" applyFont="1"/>
    <xf numFmtId="167" fontId="3" fillId="0" borderId="0" xfId="21" applyNumberFormat="1" applyFont="1" applyFill="1"/>
    <xf numFmtId="0" fontId="3" fillId="0" borderId="6" xfId="0" applyFont="1" applyFill="1" applyBorder="1"/>
    <xf numFmtId="165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165" fontId="2" fillId="0" borderId="1" xfId="20" applyNumberFormat="1" applyFont="1" applyFill="1" applyBorder="1"/>
    <xf numFmtId="0" fontId="2" fillId="0" borderId="0" xfId="0" applyFont="1" applyFill="1"/>
    <xf numFmtId="168" fontId="3" fillId="0" borderId="1" xfId="20" applyNumberFormat="1" applyFont="1" applyFill="1" applyBorder="1"/>
    <xf numFmtId="168" fontId="4" fillId="0" borderId="1" xfId="20" applyNumberFormat="1" applyFont="1" applyFill="1" applyBorder="1"/>
    <xf numFmtId="0" fontId="4" fillId="0" borderId="4" xfId="0" applyFont="1" applyFill="1" applyBorder="1"/>
    <xf numFmtId="165" fontId="4" fillId="0" borderId="5" xfId="0" applyNumberFormat="1" applyFont="1" applyFill="1" applyBorder="1"/>
    <xf numFmtId="0" fontId="5" fillId="0" borderId="0" xfId="0" applyFont="1" applyFill="1"/>
    <xf numFmtId="168" fontId="5" fillId="0" borderId="1" xfId="20" applyNumberFormat="1" applyFont="1" applyFill="1" applyBorder="1"/>
    <xf numFmtId="167" fontId="2" fillId="0" borderId="7" xfId="21" applyNumberFormat="1" applyFont="1" applyFill="1" applyBorder="1"/>
    <xf numFmtId="167" fontId="2" fillId="0" borderId="8" xfId="21" applyNumberFormat="1" applyFont="1" applyFill="1" applyBorder="1"/>
    <xf numFmtId="165" fontId="0" fillId="0" borderId="0" xfId="20" applyNumberFormat="1" applyFont="1" applyFill="1"/>
    <xf numFmtId="0" fontId="0" fillId="0" borderId="0" xfId="0" applyFont="1" applyFill="1"/>
    <xf numFmtId="165" fontId="0" fillId="0" borderId="0" xfId="0" applyNumberFormat="1" applyFont="1" applyFill="1"/>
    <xf numFmtId="165" fontId="9" fillId="0" borderId="0" xfId="20" applyNumberFormat="1" applyFont="1" applyFill="1"/>
    <xf numFmtId="165" fontId="0" fillId="0" borderId="0" xfId="20" applyNumberFormat="1" applyFont="1" applyFill="1" applyAlignment="1">
      <alignment horizontal="left"/>
    </xf>
    <xf numFmtId="0" fontId="2" fillId="0" borderId="6" xfId="0" applyFont="1" applyFill="1" applyBorder="1"/>
    <xf numFmtId="165" fontId="2" fillId="0" borderId="9" xfId="20" applyNumberFormat="1" applyFont="1" applyFill="1" applyBorder="1"/>
    <xf numFmtId="165" fontId="2" fillId="0" borderId="0" xfId="0" applyNumberFormat="1" applyFont="1" applyFill="1"/>
    <xf numFmtId="3" fontId="0" fillId="0" borderId="1" xfId="0" applyNumberFormat="1" applyFont="1" applyFill="1" applyBorder="1"/>
    <xf numFmtId="168" fontId="0" fillId="0" borderId="1" xfId="20" applyNumberFormat="1" applyFont="1" applyFill="1" applyBorder="1"/>
    <xf numFmtId="167" fontId="0" fillId="0" borderId="8" xfId="21" applyNumberFormat="1" applyFont="1" applyFill="1" applyBorder="1"/>
    <xf numFmtId="165" fontId="0" fillId="0" borderId="1" xfId="20" applyNumberFormat="1" applyFont="1" applyFill="1" applyBorder="1"/>
    <xf numFmtId="165" fontId="0" fillId="0" borderId="5" xfId="20" applyNumberFormat="1" applyFont="1" applyFill="1" applyBorder="1"/>
    <xf numFmtId="0" fontId="2" fillId="0" borderId="0" xfId="0" applyFont="1" applyFill="1" applyBorder="1"/>
    <xf numFmtId="165" fontId="2" fillId="0" borderId="0" xfId="20" applyNumberFormat="1" applyFont="1" applyFill="1" applyBorder="1"/>
    <xf numFmtId="3" fontId="2" fillId="0" borderId="0" xfId="0" applyNumberFormat="1" applyFont="1" applyFill="1" applyBorder="1"/>
    <xf numFmtId="165" fontId="2" fillId="0" borderId="0" xfId="20" applyNumberFormat="1" applyFont="1" applyFill="1"/>
    <xf numFmtId="165" fontId="2" fillId="0" borderId="1" xfId="0" applyNumberFormat="1" applyFont="1" applyFill="1" applyBorder="1" applyAlignment="1">
      <alignment horizontal="center" vertical="center" wrapText="1"/>
    </xf>
    <xf numFmtId="165" fontId="0" fillId="0" borderId="1" xfId="2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165" fontId="2" fillId="0" borderId="1" xfId="0" applyNumberFormat="1" applyFont="1" applyFill="1" applyBorder="1"/>
    <xf numFmtId="165" fontId="0" fillId="0" borderId="1" xfId="20" applyNumberFormat="1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justify" vertical="center"/>
    </xf>
    <xf numFmtId="0" fontId="0" fillId="0" borderId="0" xfId="0" applyFont="1" applyFill="1" applyAlignment="1">
      <alignment horizontal="justify" vertical="center"/>
    </xf>
    <xf numFmtId="165" fontId="0" fillId="0" borderId="1" xfId="20" applyNumberFormat="1" applyFont="1" applyFill="1" applyBorder="1" applyAlignment="1">
      <alignment horizontal="left" vertical="center" wrapText="1"/>
    </xf>
    <xf numFmtId="165" fontId="2" fillId="0" borderId="1" xfId="20" applyNumberFormat="1" applyFont="1" applyFill="1" applyBorder="1" applyAlignment="1">
      <alignment horizontal="left" vertical="center" wrapText="1"/>
    </xf>
    <xf numFmtId="165" fontId="0" fillId="0" borderId="1" xfId="2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65" fontId="0" fillId="0" borderId="1" xfId="0" applyNumberFormat="1" applyFont="1" applyFill="1" applyBorder="1"/>
    <xf numFmtId="166" fontId="0" fillId="0" borderId="1" xfId="20" applyNumberFormat="1" applyFont="1" applyFill="1" applyBorder="1" applyAlignment="1">
      <alignment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9" fontId="2" fillId="0" borderId="0" xfId="21" applyFont="1" applyFill="1" applyAlignment="1">
      <alignment horizontal="center"/>
    </xf>
    <xf numFmtId="3" fontId="10" fillId="0" borderId="1" xfId="22" applyNumberFormat="1" applyFill="1" applyBorder="1">
      <alignment/>
      <protection/>
    </xf>
    <xf numFmtId="3" fontId="10" fillId="0" borderId="1" xfId="22" applyNumberFormat="1" applyBorder="1">
      <alignment/>
      <protection/>
    </xf>
    <xf numFmtId="3" fontId="10" fillId="3" borderId="1" xfId="22" applyNumberFormat="1" applyFill="1" applyBorder="1">
      <alignment/>
      <protection/>
    </xf>
    <xf numFmtId="3" fontId="10" fillId="0" borderId="11" xfId="22" applyNumberFormat="1" applyFill="1" applyBorder="1">
      <alignment/>
      <protection/>
    </xf>
    <xf numFmtId="3" fontId="10" fillId="0" borderId="12" xfId="22" applyNumberFormat="1" applyFill="1" applyBorder="1">
      <alignment/>
      <protection/>
    </xf>
    <xf numFmtId="10" fontId="2" fillId="0" borderId="0" xfId="21" applyNumberFormat="1" applyFont="1" applyFill="1" applyAlignment="1">
      <alignment horizontal="center"/>
    </xf>
    <xf numFmtId="164" fontId="0" fillId="0" borderId="0" xfId="20" applyFont="1" applyFill="1"/>
    <xf numFmtId="168" fontId="0" fillId="0" borderId="0" xfId="20" applyNumberFormat="1" applyFont="1" applyFill="1" applyBorder="1"/>
    <xf numFmtId="3" fontId="10" fillId="0" borderId="1" xfId="22" applyNumberFormat="1" applyFill="1" applyBorder="1" applyAlignment="1">
      <alignment horizontal="right" vertical="center"/>
      <protection/>
    </xf>
    <xf numFmtId="0" fontId="0" fillId="0" borderId="0" xfId="0" applyFill="1" applyBorder="1"/>
    <xf numFmtId="0" fontId="4" fillId="0" borderId="0" xfId="0" applyFont="1" applyFill="1" applyBorder="1"/>
    <xf numFmtId="9" fontId="0" fillId="0" borderId="0" xfId="0" applyNumberFormat="1"/>
    <xf numFmtId="0" fontId="15" fillId="0" borderId="0" xfId="0" applyFont="1"/>
    <xf numFmtId="0" fontId="16" fillId="0" borderId="0" xfId="0" applyFont="1" applyAlignment="1">
      <alignment horizontal="center"/>
    </xf>
    <xf numFmtId="0" fontId="15" fillId="0" borderId="1" xfId="0" applyFont="1" applyBorder="1"/>
    <xf numFmtId="165" fontId="15" fillId="0" borderId="1" xfId="20" applyNumberFormat="1" applyFont="1" applyBorder="1"/>
    <xf numFmtId="0" fontId="16" fillId="4" borderId="1" xfId="0" applyFont="1" applyFill="1" applyBorder="1"/>
    <xf numFmtId="165" fontId="16" fillId="4" borderId="1" xfId="20" applyNumberFormat="1" applyFont="1" applyFill="1" applyBorder="1"/>
    <xf numFmtId="165" fontId="15" fillId="0" borderId="1" xfId="20" applyNumberFormat="1" applyFont="1" applyFill="1" applyBorder="1"/>
    <xf numFmtId="0" fontId="18" fillId="0" borderId="0" xfId="0" applyFont="1"/>
    <xf numFmtId="0" fontId="17" fillId="4" borderId="0" xfId="0" applyFont="1" applyFill="1" applyBorder="1" applyAlignment="1">
      <alignment horizontal="center"/>
    </xf>
    <xf numFmtId="0" fontId="18" fillId="0" borderId="0" xfId="0" applyFont="1" applyBorder="1"/>
    <xf numFmtId="165" fontId="18" fillId="0" borderId="0" xfId="20" applyNumberFormat="1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165" fontId="17" fillId="0" borderId="0" xfId="20" applyNumberFormat="1" applyFont="1" applyBorder="1"/>
    <xf numFmtId="0" fontId="17" fillId="4" borderId="0" xfId="0" applyFont="1" applyFill="1" applyBorder="1"/>
    <xf numFmtId="165" fontId="17" fillId="4" borderId="0" xfId="20" applyNumberFormat="1" applyFont="1" applyFill="1" applyBorder="1"/>
    <xf numFmtId="0" fontId="16" fillId="0" borderId="0" xfId="0" applyFont="1"/>
    <xf numFmtId="165" fontId="16" fillId="0" borderId="0" xfId="20" applyNumberFormat="1" applyFont="1"/>
    <xf numFmtId="165" fontId="15" fillId="0" borderId="0" xfId="20" applyNumberFormat="1" applyFont="1"/>
    <xf numFmtId="0" fontId="15" fillId="0" borderId="0" xfId="0" applyFont="1" applyAlignment="1">
      <alignment horizontal="center" vertical="center" wrapText="1"/>
    </xf>
    <xf numFmtId="165" fontId="15" fillId="0" borderId="0" xfId="20" applyNumberFormat="1" applyFont="1" applyAlignment="1">
      <alignment horizontal="center" vertical="center" wrapText="1"/>
    </xf>
    <xf numFmtId="0" fontId="16" fillId="2" borderId="6" xfId="0" applyFont="1" applyFill="1" applyBorder="1"/>
    <xf numFmtId="165" fontId="16" fillId="2" borderId="13" xfId="20" applyNumberFormat="1" applyFont="1" applyFill="1" applyBorder="1"/>
    <xf numFmtId="0" fontId="16" fillId="2" borderId="2" xfId="0" applyFont="1" applyFill="1" applyBorder="1"/>
    <xf numFmtId="165" fontId="16" fillId="2" borderId="1" xfId="20" applyNumberFormat="1" applyFont="1" applyFill="1" applyBorder="1"/>
    <xf numFmtId="165" fontId="16" fillId="2" borderId="3" xfId="20" applyNumberFormat="1" applyFont="1" applyFill="1" applyBorder="1"/>
    <xf numFmtId="0" fontId="15" fillId="0" borderId="2" xfId="0" applyFont="1" applyBorder="1"/>
    <xf numFmtId="0" fontId="15" fillId="0" borderId="4" xfId="0" applyFont="1" applyBorder="1"/>
    <xf numFmtId="0" fontId="15" fillId="0" borderId="14" xfId="0" applyFont="1" applyBorder="1"/>
    <xf numFmtId="0" fontId="15" fillId="0" borderId="15" xfId="0" applyFont="1" applyBorder="1"/>
    <xf numFmtId="165" fontId="15" fillId="0" borderId="16" xfId="20" applyNumberFormat="1" applyFont="1" applyBorder="1"/>
    <xf numFmtId="0" fontId="15" fillId="0" borderId="0" xfId="0" applyFont="1" applyBorder="1"/>
    <xf numFmtId="165" fontId="15" fillId="0" borderId="0" xfId="20" applyNumberFormat="1" applyFont="1" applyBorder="1"/>
    <xf numFmtId="165" fontId="16" fillId="0" borderId="0" xfId="0" applyNumberFormat="1" applyFont="1"/>
    <xf numFmtId="165" fontId="16" fillId="0" borderId="0" xfId="21" applyNumberFormat="1" applyFont="1"/>
    <xf numFmtId="9" fontId="16" fillId="0" borderId="0" xfId="21" applyFont="1"/>
    <xf numFmtId="164" fontId="15" fillId="0" borderId="0" xfId="20" applyFont="1"/>
    <xf numFmtId="0" fontId="15" fillId="0" borderId="4" xfId="0" applyFont="1" applyFill="1" applyBorder="1"/>
    <xf numFmtId="165" fontId="16" fillId="0" borderId="10" xfId="20" applyNumberFormat="1" applyFont="1" applyBorder="1" applyAlignment="1">
      <alignment horizontal="center" vertical="center" wrapText="1"/>
    </xf>
    <xf numFmtId="165" fontId="15" fillId="0" borderId="3" xfId="20" applyNumberFormat="1" applyFont="1" applyBorder="1"/>
    <xf numFmtId="165" fontId="15" fillId="0" borderId="17" xfId="20" applyNumberFormat="1" applyFont="1" applyBorder="1"/>
    <xf numFmtId="165" fontId="15" fillId="0" borderId="18" xfId="20" applyNumberFormat="1" applyFont="1" applyBorder="1"/>
    <xf numFmtId="0" fontId="16" fillId="2" borderId="19" xfId="0" applyFont="1" applyFill="1" applyBorder="1"/>
    <xf numFmtId="165" fontId="16" fillId="2" borderId="20" xfId="20" applyNumberFormat="1" applyFont="1" applyFill="1" applyBorder="1"/>
    <xf numFmtId="165" fontId="16" fillId="0" borderId="10" xfId="20" applyNumberFormat="1" applyFont="1" applyBorder="1" applyAlignment="1">
      <alignment horizontal="center"/>
    </xf>
    <xf numFmtId="0" fontId="16" fillId="2" borderId="21" xfId="0" applyFont="1" applyFill="1" applyBorder="1"/>
    <xf numFmtId="165" fontId="16" fillId="2" borderId="22" xfId="20" applyNumberFormat="1" applyFont="1" applyFill="1" applyBorder="1"/>
    <xf numFmtId="0" fontId="16" fillId="0" borderId="0" xfId="0" applyFont="1" applyBorder="1" applyAlignment="1">
      <alignment horizontal="center"/>
    </xf>
    <xf numFmtId="165" fontId="15" fillId="0" borderId="0" xfId="0" applyNumberFormat="1" applyFont="1" applyBorder="1"/>
    <xf numFmtId="167" fontId="15" fillId="0" borderId="0" xfId="21" applyNumberFormat="1" applyFont="1" applyBorder="1"/>
    <xf numFmtId="0" fontId="16" fillId="4" borderId="0" xfId="0" applyFont="1" applyFill="1" applyBorder="1"/>
    <xf numFmtId="165" fontId="16" fillId="4" borderId="0" xfId="20" applyNumberFormat="1" applyFont="1" applyFill="1" applyBorder="1"/>
    <xf numFmtId="167" fontId="16" fillId="4" borderId="0" xfId="21" applyNumberFormat="1" applyFont="1" applyFill="1" applyBorder="1"/>
    <xf numFmtId="0" fontId="16" fillId="2" borderId="0" xfId="0" applyFont="1" applyFill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165" fontId="15" fillId="0" borderId="0" xfId="0" applyNumberFormat="1" applyFont="1"/>
    <xf numFmtId="0" fontId="19" fillId="0" borderId="0" xfId="0" applyFont="1"/>
    <xf numFmtId="3" fontId="15" fillId="0" borderId="0" xfId="0" applyNumberFormat="1" applyFont="1"/>
    <xf numFmtId="0" fontId="20" fillId="0" borderId="0" xfId="0" applyFont="1" applyAlignment="1">
      <alignment horizontal="center"/>
    </xf>
    <xf numFmtId="3" fontId="20" fillId="0" borderId="0" xfId="0" applyNumberFormat="1" applyFont="1"/>
    <xf numFmtId="3" fontId="19" fillId="0" borderId="0" xfId="0" applyNumberFormat="1" applyFont="1"/>
    <xf numFmtId="0" fontId="2" fillId="0" borderId="0" xfId="0" applyFont="1" applyAlignment="1">
      <alignment horizontal="center"/>
    </xf>
    <xf numFmtId="3" fontId="0" fillId="0" borderId="0" xfId="0" applyNumberFormat="1"/>
    <xf numFmtId="0" fontId="20" fillId="0" borderId="0" xfId="0" applyFont="1"/>
    <xf numFmtId="0" fontId="10" fillId="0" borderId="0" xfId="22">
      <alignment/>
      <protection/>
    </xf>
    <xf numFmtId="0" fontId="13" fillId="0" borderId="0" xfId="23">
      <alignment/>
      <protection/>
    </xf>
    <xf numFmtId="0" fontId="21" fillId="5" borderId="11" xfId="22" applyFont="1" applyFill="1" applyBorder="1">
      <alignment/>
      <protection/>
    </xf>
    <xf numFmtId="0" fontId="10" fillId="0" borderId="11" xfId="22" applyBorder="1">
      <alignment/>
      <protection/>
    </xf>
    <xf numFmtId="0" fontId="21" fillId="0" borderId="11" xfId="22" applyFont="1" applyBorder="1">
      <alignment/>
      <protection/>
    </xf>
    <xf numFmtId="3" fontId="21" fillId="0" borderId="11" xfId="22" applyNumberFormat="1" applyFont="1" applyBorder="1">
      <alignment/>
      <protection/>
    </xf>
    <xf numFmtId="0" fontId="13" fillId="0" borderId="11" xfId="22" applyFont="1" applyBorder="1">
      <alignment/>
      <protection/>
    </xf>
    <xf numFmtId="0" fontId="10" fillId="0" borderId="11" xfId="22" applyFill="1" applyBorder="1">
      <alignment/>
      <protection/>
    </xf>
    <xf numFmtId="0" fontId="13" fillId="0" borderId="11" xfId="22" applyFont="1" applyFill="1" applyBorder="1">
      <alignment/>
      <protection/>
    </xf>
    <xf numFmtId="0" fontId="13" fillId="0" borderId="0" xfId="23" applyFill="1">
      <alignment/>
      <protection/>
    </xf>
    <xf numFmtId="0" fontId="13" fillId="0" borderId="23" xfId="22" applyFont="1" applyFill="1" applyBorder="1">
      <alignment/>
      <protection/>
    </xf>
    <xf numFmtId="3" fontId="10" fillId="0" borderId="11" xfId="22" applyNumberFormat="1" applyBorder="1">
      <alignment/>
      <protection/>
    </xf>
    <xf numFmtId="3" fontId="21" fillId="5" borderId="11" xfId="22" applyNumberFormat="1" applyFont="1" applyFill="1" applyBorder="1">
      <alignment/>
      <protection/>
    </xf>
    <xf numFmtId="168" fontId="2" fillId="0" borderId="1" xfId="20" applyNumberFormat="1" applyFont="1" applyFill="1" applyBorder="1"/>
    <xf numFmtId="0" fontId="0" fillId="0" borderId="2" xfId="0" applyFont="1" applyFill="1" applyBorder="1"/>
    <xf numFmtId="0" fontId="10" fillId="0" borderId="2" xfId="0" applyFont="1" applyFill="1" applyBorder="1"/>
    <xf numFmtId="0" fontId="0" fillId="0" borderId="4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/>
    <xf numFmtId="165" fontId="2" fillId="0" borderId="0" xfId="0" applyNumberFormat="1" applyFont="1" applyFill="1" applyAlignment="1">
      <alignment horizontal="center"/>
    </xf>
    <xf numFmtId="0" fontId="4" fillId="0" borderId="6" xfId="0" applyFont="1" applyFill="1" applyBorder="1"/>
    <xf numFmtId="165" fontId="4" fillId="0" borderId="9" xfId="20" applyNumberFormat="1" applyFont="1" applyFill="1" applyBorder="1"/>
    <xf numFmtId="0" fontId="8" fillId="0" borderId="2" xfId="0" applyFont="1" applyFill="1" applyBorder="1"/>
    <xf numFmtId="0" fontId="0" fillId="0" borderId="0" xfId="0" applyAlignment="1">
      <alignment horizontal="center"/>
    </xf>
    <xf numFmtId="9" fontId="15" fillId="0" borderId="0" xfId="21" applyFont="1" applyAlignment="1">
      <alignment horizontal="center"/>
    </xf>
    <xf numFmtId="9" fontId="15" fillId="0" borderId="0" xfId="21" applyNumberFormat="1" applyFont="1" applyBorder="1" applyAlignment="1">
      <alignment horizontal="center"/>
    </xf>
    <xf numFmtId="165" fontId="17" fillId="6" borderId="0" xfId="20" applyNumberFormat="1" applyFont="1" applyFill="1" applyBorder="1"/>
    <xf numFmtId="0" fontId="17" fillId="6" borderId="0" xfId="0" applyFont="1" applyFill="1" applyBorder="1"/>
    <xf numFmtId="165" fontId="0" fillId="0" borderId="0" xfId="0" applyNumberFormat="1"/>
    <xf numFmtId="0" fontId="0" fillId="4" borderId="0" xfId="0" applyFill="1"/>
    <xf numFmtId="0" fontId="0" fillId="6" borderId="0" xfId="0" applyFill="1"/>
    <xf numFmtId="0" fontId="17" fillId="0" borderId="0" xfId="0" applyFont="1" applyAlignment="1">
      <alignment/>
    </xf>
    <xf numFmtId="9" fontId="0" fillId="0" borderId="0" xfId="21" applyFont="1" applyAlignment="1">
      <alignment horizontal="center"/>
    </xf>
    <xf numFmtId="3" fontId="22" fillId="0" borderId="1" xfId="20" applyNumberFormat="1" applyFont="1" applyFill="1" applyBorder="1"/>
    <xf numFmtId="3" fontId="22" fillId="0" borderId="24" xfId="20" applyNumberFormat="1" applyFont="1" applyFill="1" applyBorder="1"/>
    <xf numFmtId="3" fontId="22" fillId="0" borderId="8" xfId="20" applyNumberFormat="1" applyFont="1" applyFill="1" applyBorder="1"/>
    <xf numFmtId="3" fontId="24" fillId="0" borderId="1" xfId="20" applyNumberFormat="1" applyFont="1" applyFill="1" applyBorder="1"/>
    <xf numFmtId="3" fontId="24" fillId="0" borderId="8" xfId="20" applyNumberFormat="1" applyFont="1" applyFill="1" applyBorder="1"/>
    <xf numFmtId="169" fontId="24" fillId="0" borderId="8" xfId="20" applyNumberFormat="1" applyFont="1" applyFill="1" applyBorder="1"/>
    <xf numFmtId="3" fontId="23" fillId="0" borderId="0" xfId="20" applyNumberFormat="1" applyFont="1" applyFill="1" applyBorder="1"/>
    <xf numFmtId="10" fontId="22" fillId="0" borderId="0" xfId="21" applyNumberFormat="1" applyFont="1" applyFill="1" applyBorder="1"/>
    <xf numFmtId="3" fontId="22" fillId="0" borderId="0" xfId="20" applyNumberFormat="1" applyFont="1" applyFill="1" applyBorder="1"/>
    <xf numFmtId="3" fontId="8" fillId="0" borderId="0" xfId="20" applyNumberFormat="1" applyFont="1" applyFill="1" applyBorder="1"/>
    <xf numFmtId="10" fontId="24" fillId="0" borderId="0" xfId="21" applyNumberFormat="1" applyFont="1" applyFill="1" applyBorder="1"/>
    <xf numFmtId="3" fontId="24" fillId="0" borderId="0" xfId="20" applyNumberFormat="1" applyFont="1" applyFill="1" applyBorder="1"/>
    <xf numFmtId="169" fontId="24" fillId="0" borderId="0" xfId="20" applyNumberFormat="1" applyFont="1" applyFill="1" applyBorder="1"/>
    <xf numFmtId="10" fontId="0" fillId="0" borderId="0" xfId="21" applyNumberFormat="1" applyFont="1" applyFill="1"/>
    <xf numFmtId="9" fontId="0" fillId="0" borderId="0" xfId="21" applyFont="1" applyFill="1"/>
    <xf numFmtId="167" fontId="0" fillId="0" borderId="0" xfId="21" applyNumberFormat="1" applyFont="1" applyFill="1"/>
    <xf numFmtId="10" fontId="25" fillId="0" borderId="0" xfId="21" applyNumberFormat="1" applyFont="1" applyFill="1"/>
    <xf numFmtId="9" fontId="8" fillId="0" borderId="0" xfId="21" applyFont="1" applyFill="1" applyBorder="1"/>
    <xf numFmtId="169" fontId="24" fillId="0" borderId="24" xfId="20" applyNumberFormat="1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ont="1" applyFill="1" applyBorder="1"/>
    <xf numFmtId="10" fontId="24" fillId="0" borderId="1" xfId="21" applyNumberFormat="1" applyFont="1" applyFill="1" applyBorder="1"/>
    <xf numFmtId="0" fontId="22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9" fontId="25" fillId="0" borderId="0" xfId="21" applyFont="1" applyFill="1"/>
    <xf numFmtId="9" fontId="26" fillId="0" borderId="0" xfId="21" applyFont="1" applyFill="1"/>
    <xf numFmtId="169" fontId="24" fillId="0" borderId="1" xfId="20" applyNumberFormat="1" applyFont="1" applyFill="1" applyBorder="1"/>
    <xf numFmtId="10" fontId="26" fillId="0" borderId="0" xfId="21" applyNumberFormat="1" applyFont="1" applyFill="1"/>
    <xf numFmtId="169" fontId="22" fillId="0" borderId="1" xfId="20" applyNumberFormat="1" applyFont="1" applyFill="1" applyBorder="1"/>
    <xf numFmtId="166" fontId="0" fillId="0" borderId="1" xfId="20" applyNumberFormat="1" applyFont="1" applyFill="1" applyBorder="1"/>
    <xf numFmtId="169" fontId="0" fillId="0" borderId="1" xfId="0" applyNumberFormat="1" applyFont="1" applyFill="1" applyBorder="1"/>
    <xf numFmtId="3" fontId="27" fillId="0" borderId="1" xfId="22" applyNumberFormat="1" applyFont="1" applyFill="1" applyBorder="1">
      <alignment/>
      <protection/>
    </xf>
    <xf numFmtId="9" fontId="4" fillId="0" borderId="0" xfId="21" applyFont="1" applyFill="1" applyAlignment="1">
      <alignment horizontal="center"/>
    </xf>
    <xf numFmtId="10" fontId="3" fillId="0" borderId="0" xfId="21" applyNumberFormat="1" applyFont="1" applyFill="1"/>
    <xf numFmtId="169" fontId="8" fillId="0" borderId="1" xfId="20" applyNumberFormat="1" applyFont="1" applyFill="1" applyBorder="1"/>
    <xf numFmtId="169" fontId="23" fillId="0" borderId="1" xfId="20" applyNumberFormat="1" applyFont="1" applyFill="1" applyBorder="1"/>
    <xf numFmtId="0" fontId="3" fillId="0" borderId="14" xfId="0" applyFont="1" applyFill="1" applyBorder="1"/>
    <xf numFmtId="165" fontId="3" fillId="0" borderId="25" xfId="20" applyNumberFormat="1" applyFont="1" applyFill="1" applyBorder="1"/>
    <xf numFmtId="165" fontId="3" fillId="0" borderId="18" xfId="20" applyNumberFormat="1" applyFont="1" applyFill="1" applyBorder="1"/>
    <xf numFmtId="9" fontId="4" fillId="0" borderId="13" xfId="21" applyFont="1" applyFill="1" applyBorder="1"/>
    <xf numFmtId="9" fontId="4" fillId="0" borderId="3" xfId="21" applyFont="1" applyFill="1" applyBorder="1"/>
    <xf numFmtId="0" fontId="3" fillId="0" borderId="0" xfId="0" applyFont="1" applyFill="1" applyBorder="1"/>
    <xf numFmtId="165" fontId="3" fillId="0" borderId="0" xfId="20" applyNumberFormat="1" applyFont="1" applyFill="1" applyBorder="1"/>
    <xf numFmtId="167" fontId="4" fillId="0" borderId="0" xfId="21" applyNumberFormat="1" applyFont="1" applyFill="1" applyBorder="1" applyAlignment="1">
      <alignment horizontal="center"/>
    </xf>
    <xf numFmtId="2" fontId="28" fillId="2" borderId="10" xfId="0" applyNumberFormat="1" applyFont="1" applyFill="1" applyBorder="1" applyAlignment="1">
      <alignment horizontal="center" vertical="center" wrapText="1"/>
    </xf>
    <xf numFmtId="9" fontId="3" fillId="0" borderId="3" xfId="21" applyFont="1" applyFill="1" applyBorder="1"/>
    <xf numFmtId="9" fontId="3" fillId="0" borderId="17" xfId="21" applyFont="1" applyFill="1" applyBorder="1"/>
    <xf numFmtId="0" fontId="8" fillId="0" borderId="0" xfId="0" applyFont="1" applyBorder="1" applyAlignment="1">
      <alignment horizontal="right"/>
    </xf>
    <xf numFmtId="3" fontId="19" fillId="0" borderId="0" xfId="0" applyNumberFormat="1" applyFont="1" applyFill="1"/>
    <xf numFmtId="0" fontId="19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/>
    <xf numFmtId="3" fontId="20" fillId="0" borderId="0" xfId="0" applyNumberFormat="1" applyFont="1" applyFill="1"/>
    <xf numFmtId="0" fontId="29" fillId="0" borderId="1" xfId="22" applyFont="1" applyBorder="1">
      <alignment/>
      <protection/>
    </xf>
    <xf numFmtId="0" fontId="30" fillId="0" borderId="1" xfId="22" applyFont="1" applyBorder="1">
      <alignment/>
      <protection/>
    </xf>
    <xf numFmtId="0" fontId="31" fillId="0" borderId="1" xfId="22" applyFont="1" applyBorder="1">
      <alignment/>
      <protection/>
    </xf>
    <xf numFmtId="3" fontId="29" fillId="0" borderId="1" xfId="22" applyNumberFormat="1" applyFont="1" applyBorder="1">
      <alignment/>
      <protection/>
    </xf>
    <xf numFmtId="0" fontId="32" fillId="0" borderId="1" xfId="22" applyFont="1" applyBorder="1">
      <alignment/>
      <protection/>
    </xf>
    <xf numFmtId="3" fontId="32" fillId="0" borderId="1" xfId="22" applyNumberFormat="1" applyFont="1" applyBorder="1">
      <alignment/>
      <protection/>
    </xf>
    <xf numFmtId="0" fontId="32" fillId="0" borderId="1" xfId="22" applyFont="1" applyFill="1" applyBorder="1">
      <alignment/>
      <protection/>
    </xf>
    <xf numFmtId="0" fontId="32" fillId="0" borderId="1" xfId="22" applyFont="1" applyBorder="1" applyAlignment="1">
      <alignment wrapText="1"/>
      <protection/>
    </xf>
    <xf numFmtId="0" fontId="29" fillId="7" borderId="1" xfId="22" applyFont="1" applyFill="1" applyBorder="1">
      <alignment/>
      <protection/>
    </xf>
    <xf numFmtId="3" fontId="29" fillId="7" borderId="1" xfId="22" applyNumberFormat="1" applyFont="1" applyFill="1" applyBorder="1">
      <alignment/>
      <protection/>
    </xf>
    <xf numFmtId="3" fontId="30" fillId="0" borderId="1" xfId="22" applyNumberFormat="1" applyFont="1" applyBorder="1">
      <alignment/>
      <protection/>
    </xf>
    <xf numFmtId="0" fontId="29" fillId="0" borderId="1" xfId="23" applyFont="1" applyBorder="1">
      <alignment/>
      <protection/>
    </xf>
    <xf numFmtId="0" fontId="32" fillId="0" borderId="1" xfId="23" applyFont="1" applyBorder="1">
      <alignment/>
      <protection/>
    </xf>
    <xf numFmtId="0" fontId="29" fillId="4" borderId="1" xfId="23" applyFont="1" applyFill="1" applyBorder="1">
      <alignment/>
      <protection/>
    </xf>
    <xf numFmtId="3" fontId="29" fillId="4" borderId="1" xfId="23" applyNumberFormat="1" applyFont="1" applyFill="1" applyBorder="1">
      <alignment/>
      <protection/>
    </xf>
    <xf numFmtId="9" fontId="0" fillId="0" borderId="0" xfId="21" applyFont="1"/>
    <xf numFmtId="0" fontId="17" fillId="0" borderId="0" xfId="0" applyFont="1" applyFill="1" applyBorder="1"/>
    <xf numFmtId="165" fontId="17" fillId="0" borderId="0" xfId="20" applyNumberFormat="1" applyFont="1" applyFill="1" applyBorder="1"/>
    <xf numFmtId="0" fontId="17" fillId="0" borderId="0" xfId="0" applyFont="1" applyFill="1" applyBorder="1" applyAlignment="1">
      <alignment horizontal="left"/>
    </xf>
    <xf numFmtId="10" fontId="2" fillId="0" borderId="0" xfId="21" applyNumberFormat="1" applyFont="1" applyFill="1"/>
    <xf numFmtId="165" fontId="2" fillId="8" borderId="1" xfId="0" applyNumberFormat="1" applyFont="1" applyFill="1" applyBorder="1" applyAlignment="1">
      <alignment horizontal="center" vertical="center" wrapText="1"/>
    </xf>
    <xf numFmtId="165" fontId="0" fillId="8" borderId="26" xfId="20" applyNumberFormat="1" applyFont="1" applyFill="1" applyBorder="1"/>
    <xf numFmtId="3" fontId="0" fillId="8" borderId="1" xfId="0" applyNumberFormat="1" applyFont="1" applyFill="1" applyBorder="1"/>
    <xf numFmtId="165" fontId="0" fillId="8" borderId="1" xfId="20" applyNumberFormat="1" applyFont="1" applyFill="1" applyBorder="1"/>
    <xf numFmtId="165" fontId="0" fillId="8" borderId="1" xfId="0" applyNumberFormat="1" applyFont="1" applyFill="1" applyBorder="1" applyAlignment="1">
      <alignment horizontal="center" vertical="center" wrapText="1"/>
    </xf>
    <xf numFmtId="165" fontId="2" fillId="8" borderId="1" xfId="20" applyNumberFormat="1" applyFont="1" applyFill="1" applyBorder="1"/>
    <xf numFmtId="165" fontId="0" fillId="8" borderId="1" xfId="20" applyNumberFormat="1" applyFont="1" applyFill="1" applyBorder="1" applyAlignment="1">
      <alignment horizontal="left" vertical="center" wrapText="1"/>
    </xf>
    <xf numFmtId="165" fontId="2" fillId="8" borderId="1" xfId="20" applyNumberFormat="1" applyFont="1" applyFill="1" applyBorder="1" applyAlignment="1">
      <alignment horizontal="left" vertical="center" wrapText="1"/>
    </xf>
    <xf numFmtId="165" fontId="0" fillId="8" borderId="1" xfId="20" applyNumberFormat="1" applyFont="1" applyFill="1" applyBorder="1" applyAlignment="1">
      <alignment vertical="center" wrapText="1"/>
    </xf>
    <xf numFmtId="165" fontId="0" fillId="8" borderId="1" xfId="20" applyNumberFormat="1" applyFont="1" applyFill="1" applyBorder="1" applyAlignment="1">
      <alignment horizontal="center"/>
    </xf>
    <xf numFmtId="165" fontId="2" fillId="8" borderId="1" xfId="20" applyNumberFormat="1" applyFont="1" applyFill="1" applyBorder="1" applyAlignment="1">
      <alignment vertical="center" wrapText="1"/>
    </xf>
    <xf numFmtId="165" fontId="2" fillId="0" borderId="1" xfId="20" applyNumberFormat="1" applyFont="1" applyFill="1" applyBorder="1" applyAlignment="1">
      <alignment vertical="center" wrapText="1"/>
    </xf>
    <xf numFmtId="165" fontId="0" fillId="8" borderId="1" xfId="0" applyNumberFormat="1" applyFont="1" applyFill="1" applyBorder="1"/>
    <xf numFmtId="165" fontId="2" fillId="8" borderId="1" xfId="0" applyNumberFormat="1" applyFont="1" applyFill="1" applyBorder="1"/>
    <xf numFmtId="165" fontId="2" fillId="8" borderId="26" xfId="20" applyNumberFormat="1" applyFont="1" applyFill="1" applyBorder="1"/>
    <xf numFmtId="10" fontId="8" fillId="0" borderId="0" xfId="21" applyNumberFormat="1" applyFont="1" applyFill="1" applyBorder="1"/>
    <xf numFmtId="3" fontId="2" fillId="8" borderId="1" xfId="0" applyNumberFormat="1" applyFont="1" applyFill="1" applyBorder="1"/>
    <xf numFmtId="3" fontId="2" fillId="8" borderId="5" xfId="0" applyNumberFormat="1" applyFont="1" applyFill="1" applyBorder="1"/>
    <xf numFmtId="165" fontId="0" fillId="8" borderId="27" xfId="20" applyNumberFormat="1" applyFont="1" applyFill="1" applyBorder="1"/>
    <xf numFmtId="165" fontId="2" fillId="8" borderId="28" xfId="20" applyNumberFormat="1" applyFont="1" applyFill="1" applyBorder="1"/>
    <xf numFmtId="165" fontId="2" fillId="8" borderId="9" xfId="20" applyNumberFormat="1" applyFont="1" applyFill="1" applyBorder="1"/>
    <xf numFmtId="167" fontId="0" fillId="0" borderId="29" xfId="21" applyNumberFormat="1" applyFont="1" applyFill="1" applyBorder="1"/>
    <xf numFmtId="0" fontId="3" fillId="8" borderId="2" xfId="0" applyFont="1" applyFill="1" applyBorder="1"/>
    <xf numFmtId="165" fontId="4" fillId="8" borderId="1" xfId="20" applyNumberFormat="1" applyFont="1" applyFill="1" applyBorder="1"/>
    <xf numFmtId="165" fontId="3" fillId="8" borderId="1" xfId="20" applyNumberFormat="1" applyFont="1" applyFill="1" applyBorder="1"/>
    <xf numFmtId="0" fontId="3" fillId="8" borderId="0" xfId="0" applyFont="1" applyFill="1" applyAlignment="1">
      <alignment horizontal="right"/>
    </xf>
    <xf numFmtId="165" fontId="3" fillId="8" borderId="5" xfId="20" applyNumberFormat="1" applyFont="1" applyFill="1" applyBorder="1"/>
    <xf numFmtId="165" fontId="4" fillId="8" borderId="9" xfId="20" applyNumberFormat="1" applyFont="1" applyFill="1" applyBorder="1"/>
    <xf numFmtId="165" fontId="3" fillId="8" borderId="1" xfId="0" applyNumberFormat="1" applyFont="1" applyFill="1" applyBorder="1" applyAlignment="1">
      <alignment horizontal="center" vertical="center" wrapText="1"/>
    </xf>
    <xf numFmtId="165" fontId="4" fillId="8" borderId="1" xfId="0" applyNumberFormat="1" applyFont="1" applyFill="1" applyBorder="1" applyAlignment="1">
      <alignment horizontal="center" vertical="center" wrapText="1"/>
    </xf>
    <xf numFmtId="165" fontId="3" fillId="8" borderId="1" xfId="20" applyNumberFormat="1" applyFont="1" applyFill="1" applyBorder="1" applyAlignment="1">
      <alignment horizontal="left" vertical="center" wrapText="1"/>
    </xf>
    <xf numFmtId="165" fontId="3" fillId="8" borderId="1" xfId="0" applyNumberFormat="1" applyFont="1" applyFill="1" applyBorder="1"/>
    <xf numFmtId="0" fontId="3" fillId="8" borderId="1" xfId="0" applyFont="1" applyFill="1" applyBorder="1"/>
    <xf numFmtId="165" fontId="3" fillId="8" borderId="1" xfId="20" applyNumberFormat="1" applyFont="1" applyFill="1" applyBorder="1" applyAlignment="1">
      <alignment horizontal="center" vertical="center" wrapText="1"/>
    </xf>
    <xf numFmtId="165" fontId="4" fillId="8" borderId="1" xfId="0" applyNumberFormat="1" applyFont="1" applyFill="1" applyBorder="1"/>
    <xf numFmtId="0" fontId="0" fillId="0" borderId="2" xfId="0" applyFont="1" applyFill="1" applyBorder="1" applyAlignment="1">
      <alignment horizontal="justify" vertical="center"/>
    </xf>
    <xf numFmtId="0" fontId="0" fillId="8" borderId="2" xfId="0" applyFont="1" applyFill="1" applyBorder="1"/>
    <xf numFmtId="0" fontId="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/>
    <xf numFmtId="167" fontId="0" fillId="0" borderId="3" xfId="21" applyNumberFormat="1" applyFont="1" applyFill="1" applyBorder="1"/>
    <xf numFmtId="0" fontId="14" fillId="0" borderId="2" xfId="22" applyFont="1" applyFill="1" applyBorder="1">
      <alignment/>
      <protection/>
    </xf>
    <xf numFmtId="0" fontId="0" fillId="0" borderId="2" xfId="0" applyFont="1" applyFill="1" applyBorder="1" applyAlignment="1">
      <alignment vertical="center" wrapText="1"/>
    </xf>
    <xf numFmtId="0" fontId="10" fillId="0" borderId="2" xfId="22" applyFont="1" applyFill="1" applyBorder="1">
      <alignment/>
      <protection/>
    </xf>
    <xf numFmtId="0" fontId="0" fillId="0" borderId="2" xfId="0" applyFont="1" applyFill="1" applyBorder="1" applyAlignment="1">
      <alignment wrapText="1"/>
    </xf>
    <xf numFmtId="0" fontId="10" fillId="8" borderId="2" xfId="22" applyFont="1" applyFill="1" applyBorder="1">
      <alignment/>
      <protection/>
    </xf>
    <xf numFmtId="0" fontId="2" fillId="0" borderId="2" xfId="0" applyFont="1" applyFill="1" applyBorder="1" applyAlignment="1">
      <alignment vertical="center" wrapText="1"/>
    </xf>
    <xf numFmtId="0" fontId="12" fillId="0" borderId="2" xfId="0" applyFont="1" applyFill="1" applyBorder="1"/>
    <xf numFmtId="0" fontId="13" fillId="0" borderId="30" xfId="22" applyFont="1" applyFill="1" applyBorder="1">
      <alignment/>
      <protection/>
    </xf>
    <xf numFmtId="165" fontId="0" fillId="8" borderId="5" xfId="20" applyNumberFormat="1" applyFont="1" applyFill="1" applyBorder="1"/>
    <xf numFmtId="165" fontId="0" fillId="8" borderId="5" xfId="0" applyNumberFormat="1" applyFont="1" applyFill="1" applyBorder="1"/>
    <xf numFmtId="165" fontId="2" fillId="9" borderId="20" xfId="20" applyNumberFormat="1" applyFont="1" applyFill="1" applyBorder="1"/>
    <xf numFmtId="165" fontId="2" fillId="9" borderId="31" xfId="20" applyNumberFormat="1" applyFont="1" applyFill="1" applyBorder="1"/>
    <xf numFmtId="0" fontId="2" fillId="9" borderId="19" xfId="0" applyFont="1" applyFill="1" applyBorder="1"/>
    <xf numFmtId="165" fontId="4" fillId="8" borderId="1" xfId="20" applyNumberFormat="1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right"/>
    </xf>
    <xf numFmtId="165" fontId="4" fillId="8" borderId="5" xfId="0" applyNumberFormat="1" applyFont="1" applyFill="1" applyBorder="1"/>
    <xf numFmtId="165" fontId="5" fillId="8" borderId="1" xfId="20" applyNumberFormat="1" applyFont="1" applyFill="1" applyBorder="1"/>
    <xf numFmtId="0" fontId="13" fillId="8" borderId="11" xfId="22" applyFont="1" applyFill="1" applyBorder="1">
      <alignment/>
      <protection/>
    </xf>
    <xf numFmtId="0" fontId="13" fillId="8" borderId="23" xfId="22" applyFont="1" applyFill="1" applyBorder="1">
      <alignment/>
      <protection/>
    </xf>
    <xf numFmtId="165" fontId="10" fillId="0" borderId="11" xfId="20" applyNumberFormat="1" applyFont="1" applyBorder="1"/>
    <xf numFmtId="165" fontId="13" fillId="0" borderId="11" xfId="20" applyNumberFormat="1" applyFont="1" applyBorder="1"/>
    <xf numFmtId="165" fontId="13" fillId="0" borderId="11" xfId="20" applyNumberFormat="1" applyFont="1" applyFill="1" applyBorder="1"/>
    <xf numFmtId="165" fontId="13" fillId="0" borderId="0" xfId="20" applyNumberFormat="1" applyFont="1" applyFill="1"/>
    <xf numFmtId="165" fontId="10" fillId="0" borderId="11" xfId="20" applyNumberFormat="1" applyFont="1" applyFill="1" applyBorder="1"/>
    <xf numFmtId="165" fontId="13" fillId="0" borderId="1" xfId="20" applyNumberFormat="1" applyFont="1" applyBorder="1"/>
    <xf numFmtId="165" fontId="10" fillId="0" borderId="12" xfId="20" applyNumberFormat="1" applyFont="1" applyFill="1" applyBorder="1"/>
    <xf numFmtId="165" fontId="10" fillId="0" borderId="32" xfId="20" applyNumberFormat="1" applyFont="1" applyBorder="1"/>
    <xf numFmtId="0" fontId="16" fillId="2" borderId="1" xfId="0" applyFont="1" applyFill="1" applyBorder="1"/>
    <xf numFmtId="167" fontId="16" fillId="2" borderId="1" xfId="21" applyNumberFormat="1" applyFont="1" applyFill="1" applyBorder="1"/>
    <xf numFmtId="165" fontId="15" fillId="0" borderId="1" xfId="0" applyNumberFormat="1" applyFont="1" applyBorder="1"/>
    <xf numFmtId="167" fontId="15" fillId="0" borderId="1" xfId="21" applyNumberFormat="1" applyFont="1" applyBorder="1"/>
    <xf numFmtId="167" fontId="16" fillId="0" borderId="1" xfId="21" applyNumberFormat="1" applyFont="1" applyBorder="1"/>
    <xf numFmtId="165" fontId="16" fillId="2" borderId="1" xfId="20" applyNumberFormat="1" applyFont="1" applyFill="1" applyBorder="1" applyAlignment="1">
      <alignment horizontal="center" vertical="center" wrapText="1"/>
    </xf>
    <xf numFmtId="165" fontId="16" fillId="2" borderId="1" xfId="20" applyNumberFormat="1" applyFont="1" applyFill="1" applyBorder="1" applyAlignment="1">
      <alignment horizontal="center" wrapText="1"/>
    </xf>
    <xf numFmtId="165" fontId="16" fillId="2" borderId="25" xfId="20" applyNumberFormat="1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16" fillId="0" borderId="1" xfId="0" applyFont="1" applyBorder="1"/>
    <xf numFmtId="165" fontId="16" fillId="0" borderId="1" xfId="20" applyNumberFormat="1" applyFont="1" applyBorder="1"/>
    <xf numFmtId="165" fontId="16" fillId="0" borderId="1" xfId="20" applyNumberFormat="1" applyFont="1" applyFill="1" applyBorder="1"/>
    <xf numFmtId="9" fontId="15" fillId="0" borderId="0" xfId="0" applyNumberFormat="1" applyFont="1"/>
    <xf numFmtId="0" fontId="2" fillId="0" borderId="0" xfId="0" applyFont="1" applyAlignment="1">
      <alignment horizontal="center"/>
    </xf>
    <xf numFmtId="0" fontId="19" fillId="10" borderId="1" xfId="0" applyFont="1" applyFill="1" applyBorder="1" applyAlignment="1">
      <alignment vertical="top"/>
    </xf>
    <xf numFmtId="0" fontId="19" fillId="0" borderId="1" xfId="0" applyFont="1" applyBorder="1"/>
    <xf numFmtId="165" fontId="19" fillId="0" borderId="1" xfId="20" applyNumberFormat="1" applyFont="1" applyFill="1" applyBorder="1"/>
    <xf numFmtId="0" fontId="19" fillId="0" borderId="1" xfId="0" applyFont="1" applyFill="1" applyBorder="1" applyAlignment="1">
      <alignment vertical="top"/>
    </xf>
    <xf numFmtId="0" fontId="19" fillId="11" borderId="1" xfId="0" applyFont="1" applyFill="1" applyBorder="1" applyAlignment="1">
      <alignment vertical="top"/>
    </xf>
    <xf numFmtId="0" fontId="30" fillId="11" borderId="1" xfId="22" applyFont="1" applyFill="1" applyBorder="1" applyAlignment="1">
      <alignment vertical="top"/>
      <protection/>
    </xf>
    <xf numFmtId="0" fontId="33" fillId="0" borderId="1" xfId="22" applyFont="1" applyFill="1" applyBorder="1" applyAlignment="1">
      <alignment vertical="top"/>
      <protection/>
    </xf>
    <xf numFmtId="0" fontId="30" fillId="0" borderId="1" xfId="22" applyFont="1" applyFill="1" applyBorder="1" applyAlignment="1">
      <alignment vertical="top"/>
      <protection/>
    </xf>
    <xf numFmtId="165" fontId="20" fillId="0" borderId="1" xfId="0" applyNumberFormat="1" applyFont="1" applyBorder="1"/>
    <xf numFmtId="165" fontId="0" fillId="6" borderId="0" xfId="20" applyNumberFormat="1" applyFont="1" applyFill="1"/>
    <xf numFmtId="165" fontId="0" fillId="0" borderId="1" xfId="20" applyNumberFormat="1" applyFont="1" applyBorder="1"/>
    <xf numFmtId="9" fontId="0" fillId="0" borderId="1" xfId="21" applyFont="1" applyBorder="1"/>
    <xf numFmtId="165" fontId="0" fillId="0" borderId="1" xfId="0" applyNumberFormat="1" applyBorder="1"/>
    <xf numFmtId="10" fontId="0" fillId="0" borderId="1" xfId="21" applyNumberFormat="1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/>
    <xf numFmtId="165" fontId="2" fillId="10" borderId="1" xfId="20" applyNumberFormat="1" applyFont="1" applyFill="1" applyBorder="1"/>
    <xf numFmtId="10" fontId="2" fillId="10" borderId="1" xfId="21" applyNumberFormat="1" applyFont="1" applyFill="1" applyBorder="1"/>
    <xf numFmtId="165" fontId="2" fillId="10" borderId="1" xfId="0" applyNumberFormat="1" applyFont="1" applyFill="1" applyBorder="1"/>
    <xf numFmtId="9" fontId="0" fillId="0" borderId="1" xfId="0" applyNumberForma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0" fillId="9" borderId="2" xfId="0" applyFont="1" applyFill="1" applyBorder="1"/>
    <xf numFmtId="165" fontId="3" fillId="9" borderId="1" xfId="0" applyNumberFormat="1" applyFont="1" applyFill="1" applyBorder="1"/>
    <xf numFmtId="165" fontId="0" fillId="9" borderId="1" xfId="0" applyNumberFormat="1" applyFont="1" applyFill="1" applyBorder="1" applyAlignment="1">
      <alignment horizontal="center" vertical="center" wrapText="1"/>
    </xf>
    <xf numFmtId="0" fontId="3" fillId="9" borderId="2" xfId="0" applyFont="1" applyFill="1" applyBorder="1"/>
    <xf numFmtId="0" fontId="5" fillId="9" borderId="2" xfId="0" applyFont="1" applyFill="1" applyBorder="1"/>
    <xf numFmtId="3" fontId="0" fillId="0" borderId="0" xfId="0" applyNumberFormat="1" applyFont="1" applyFill="1"/>
    <xf numFmtId="0" fontId="0" fillId="9" borderId="2" xfId="0" applyFont="1" applyFill="1" applyBorder="1" applyAlignment="1">
      <alignment wrapText="1"/>
    </xf>
    <xf numFmtId="0" fontId="10" fillId="9" borderId="2" xfId="22" applyFont="1" applyFill="1" applyBorder="1">
      <alignment/>
      <protection/>
    </xf>
    <xf numFmtId="165" fontId="13" fillId="9" borderId="0" xfId="20" applyNumberFormat="1" applyFont="1" applyFill="1"/>
    <xf numFmtId="165" fontId="13" fillId="9" borderId="11" xfId="20" applyNumberFormat="1" applyFont="1" applyFill="1" applyBorder="1"/>
    <xf numFmtId="165" fontId="10" fillId="9" borderId="12" xfId="20" applyNumberFormat="1" applyFont="1" applyFill="1" applyBorder="1"/>
    <xf numFmtId="0" fontId="13" fillId="0" borderId="1" xfId="23" applyBorder="1">
      <alignment/>
      <protection/>
    </xf>
    <xf numFmtId="0" fontId="13" fillId="0" borderId="1" xfId="23" applyFill="1" applyBorder="1">
      <alignment/>
      <protection/>
    </xf>
    <xf numFmtId="0" fontId="31" fillId="0" borderId="1" xfId="22" applyFont="1" applyBorder="1" applyAlignment="1">
      <alignment horizontal="center"/>
      <protection/>
    </xf>
    <xf numFmtId="0" fontId="17" fillId="0" borderId="0" xfId="0" applyFont="1" applyAlignment="1">
      <alignment horizontal="center"/>
    </xf>
    <xf numFmtId="3" fontId="19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/>
    </xf>
    <xf numFmtId="0" fontId="2" fillId="10" borderId="33" xfId="0" applyFont="1" applyFill="1" applyBorder="1" applyAlignment="1">
      <alignment horizontal="center"/>
    </xf>
    <xf numFmtId="0" fontId="2" fillId="10" borderId="34" xfId="0" applyFont="1" applyFill="1" applyBorder="1" applyAlignment="1">
      <alignment horizontal="center"/>
    </xf>
    <xf numFmtId="2" fontId="35" fillId="9" borderId="10" xfId="0" applyNumberFormat="1" applyFont="1" applyFill="1" applyBorder="1" applyAlignment="1">
      <alignment horizontal="center" vertical="center" wrapText="1"/>
    </xf>
    <xf numFmtId="165" fontId="35" fillId="9" borderId="1" xfId="0" applyNumberFormat="1" applyFont="1" applyFill="1" applyBorder="1" applyAlignment="1">
      <alignment horizontal="center" vertical="center" wrapText="1"/>
    </xf>
    <xf numFmtId="165" fontId="35" fillId="9" borderId="0" xfId="0" applyNumberFormat="1" applyFont="1" applyFill="1"/>
    <xf numFmtId="0" fontId="35" fillId="9" borderId="0" xfId="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 2" xfId="22"/>
    <cellStyle name="Excel Built-in Normal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entury Gothic"/>
                <a:ea typeface="Century Gothic"/>
                <a:cs typeface="Century Gothic"/>
              </a:rPr>
              <a:t>PARTICIPACIÓN DE INGRESOS 2017</a:t>
            </a:r>
            <a:r>
              <a:rPr lang="en-US" cap="none" sz="1400" u="none" baseline="0">
                <a:latin typeface="Century Gothic"/>
                <a:ea typeface="Century Gothic"/>
                <a:cs typeface="Century Gothic"/>
              </a:rPr>
              <a:t>
 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.1505"/>
                  <c:y val="-0.05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Century Gothic"/>
                        <a:ea typeface="Century Gothic"/>
                        <a:cs typeface="Century Gothic"/>
                      </a:rPr>
                      <a:t>PUBLICO
86%</a:t>
                    </a:r>
                    <a:r>
                      <a:rPr lang="en-US" cap="none" sz="900" b="1" u="none" baseline="0">
                        <a:latin typeface="Century Gothic"/>
                        <a:ea typeface="Century Gothic"/>
                        <a:cs typeface="Century Gothic"/>
                      </a:rPr>
                      <a:t>
$2.483883.045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35"/>
                  <c:y val="0.11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Century Gothic"/>
                        <a:ea typeface="Century Gothic"/>
                        <a:cs typeface="Century Gothic"/>
                      </a:rPr>
                      <a:t>PRIVADO
14%</a:t>
                    </a:r>
                    <a:r>
                      <a:rPr lang="en-US" cap="none" b="1" u="none" baseline="0">
                        <a:latin typeface="Century Gothic"/>
                        <a:ea typeface="Century Gothic"/>
                        <a:cs typeface="Century Gothic"/>
                      </a:rPr>
                      <a:t>
$396.617.972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entury Gothic"/>
                    <a:ea typeface="Century Gothic"/>
                    <a:cs typeface="Century Gothic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'[3]COMITE'!$M$4:$M$5</c:f>
              <c:strCache>
                <c:ptCount val="2"/>
                <c:pt idx="0">
                  <c:v>PUBLICO</c:v>
                </c:pt>
                <c:pt idx="1">
                  <c:v>PRIVADO</c:v>
                </c:pt>
              </c:strCache>
            </c:strRef>
          </c:cat>
          <c:val>
            <c:numRef>
              <c:f>'[3]COMITE'!$N$4:$N$5</c:f>
              <c:numCache>
                <c:formatCode>General</c:formatCode>
                <c:ptCount val="2"/>
                <c:pt idx="0">
                  <c:v>5019120345</c:v>
                </c:pt>
                <c:pt idx="1">
                  <c:v>544185677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16</xdr:col>
      <xdr:colOff>314325</xdr:colOff>
      <xdr:row>19</xdr:row>
      <xdr:rowOff>133350</xdr:rowOff>
    </xdr:to>
    <xdr:graphicFrame macro="">
      <xdr:nvGraphicFramePr>
        <xdr:cNvPr id="2" name="1 Gráfico"/>
        <xdr:cNvGraphicFramePr/>
      </xdr:nvGraphicFramePr>
      <xdr:xfrm>
        <a:off x="9877425" y="552450"/>
        <a:ext cx="4886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ci&#243;n\3D%20Objects\Before-Daf\DIRADMIN\PRESUPUESTO\2017\PRESUPUESTO%20NOMINA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cuments\DIRADMIN\PRESUPUESTO\2017\PRESUPUESTO%20NOMINA%20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cion\Desktop\CAMARA\EJECUCION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C NOMINA 7% PUBLICA"/>
      <sheetName val="PROYECC NOMINA 7% PRIVADA"/>
      <sheetName val="REGISTROS PUBLICOS"/>
      <sheetName val="PROMOCION Y DESARROLLO"/>
      <sheetName val="GESTION ESTRATEGICA"/>
      <sheetName val="GESTION ADMINSITRATIVA"/>
      <sheetName val="RELACIONES COMERCI"/>
      <sheetName val="COMPARATIVO"/>
      <sheetName val="COMP DRA"/>
    </sheetNames>
    <sheetDataSet>
      <sheetData sheetId="0">
        <row r="55">
          <cell r="D55">
            <v>1494000</v>
          </cell>
          <cell r="E55">
            <v>67249000</v>
          </cell>
          <cell r="F55">
            <v>0</v>
          </cell>
          <cell r="G55">
            <v>0</v>
          </cell>
          <cell r="H55">
            <v>5732000</v>
          </cell>
          <cell r="I55">
            <v>688000</v>
          </cell>
          <cell r="J55">
            <v>5732000</v>
          </cell>
          <cell r="K55">
            <v>4207000</v>
          </cell>
          <cell r="L55">
            <v>5718000</v>
          </cell>
          <cell r="M55">
            <v>8065000</v>
          </cell>
          <cell r="N55">
            <v>409000</v>
          </cell>
          <cell r="O55">
            <v>2689000</v>
          </cell>
          <cell r="P55">
            <v>2021000</v>
          </cell>
          <cell r="Q55">
            <v>1344000</v>
          </cell>
          <cell r="R55">
            <v>14500000</v>
          </cell>
        </row>
      </sheetData>
      <sheetData sheetId="1">
        <row r="8">
          <cell r="D8">
            <v>83000</v>
          </cell>
          <cell r="E8">
            <v>1000000</v>
          </cell>
          <cell r="G8">
            <v>90000</v>
          </cell>
          <cell r="H8">
            <v>11000</v>
          </cell>
          <cell r="I8">
            <v>90000</v>
          </cell>
          <cell r="J8">
            <v>63000</v>
          </cell>
          <cell r="K8">
            <v>85000</v>
          </cell>
          <cell r="L8">
            <v>120000</v>
          </cell>
          <cell r="M8">
            <v>70000</v>
          </cell>
          <cell r="N8">
            <v>40000</v>
          </cell>
          <cell r="O8">
            <v>30000</v>
          </cell>
          <cell r="P8">
            <v>20000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YECC NOMINA 5,5% PUBLICA"/>
      <sheetName val="PROYECC NOMINA 5,5% PRIVADA"/>
      <sheetName val="REGISTROS PUBLICOS"/>
      <sheetName val="PROMOCION Y DESARROLLO"/>
      <sheetName val="GESTION ESTRATEGICA"/>
      <sheetName val="GESTION ADMINSITRATIVA"/>
      <sheetName val="RELACIONES COMERCI"/>
      <sheetName val="COMPARATIVO"/>
      <sheetName val="Hoja1"/>
    </sheetNames>
    <sheetDataSet>
      <sheetData sheetId="0">
        <row r="54">
          <cell r="D54">
            <v>1560000</v>
          </cell>
        </row>
      </sheetData>
      <sheetData sheetId="1">
        <row r="8">
          <cell r="D8">
            <v>78000</v>
          </cell>
          <cell r="Q8">
            <v>500000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STOS PUBLICOS"/>
      <sheetName val="GASTOS PRIVADOS"/>
      <sheetName val="INGRESOS PUBLICOS"/>
      <sheetName val="INGRESOS PRIVADOS"/>
      <sheetName val="INVERSION"/>
      <sheetName val="CONSOLIDADO"/>
      <sheetName val="COMITE"/>
      <sheetName val="RESUMEN COMITE"/>
      <sheetName val="EXPOFUTURO"/>
      <sheetName val="EJEC DEPTOS"/>
      <sheetName val="capacitaciones"/>
      <sheetName val="Funcionamiento"/>
      <sheetName val="Centro de Convenciones"/>
      <sheetName val="Registro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M4" t="str">
            <v>PUBLICO</v>
          </cell>
          <cell r="N4">
            <v>5019120345</v>
          </cell>
        </row>
        <row r="5">
          <cell r="M5" t="str">
            <v>PRIVADO</v>
          </cell>
          <cell r="N5">
            <v>544185677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R601"/>
  <sheetViews>
    <sheetView tabSelected="1" workbookViewId="0" topLeftCell="A1">
      <pane xSplit="2" ySplit="6" topLeftCell="L55" activePane="bottomRight" state="frozen"/>
      <selection pane="topRight" activeCell="C1" sqref="C1"/>
      <selection pane="bottomLeft" activeCell="A9" sqref="A9"/>
      <selection pane="bottomRight" activeCell="O59" sqref="O59:O60"/>
    </sheetView>
  </sheetViews>
  <sheetFormatPr defaultColWidth="11.421875" defaultRowHeight="15"/>
  <cols>
    <col min="1" max="1" width="47.7109375" style="41" customWidth="1"/>
    <col min="2" max="2" width="17.140625" style="40" bestFit="1" customWidth="1"/>
    <col min="3" max="3" width="16.7109375" style="40" customWidth="1"/>
    <col min="4" max="4" width="16.7109375" style="41" customWidth="1"/>
    <col min="5" max="5" width="16.28125" style="41" customWidth="1"/>
    <col min="6" max="6" width="16.57421875" style="41" customWidth="1"/>
    <col min="7" max="7" width="17.28125" style="41" customWidth="1"/>
    <col min="8" max="8" width="16.8515625" style="41" customWidth="1"/>
    <col min="9" max="9" width="16.140625" style="41" customWidth="1"/>
    <col min="10" max="14" width="14.8515625" style="41" customWidth="1"/>
    <col min="15" max="15" width="18.00390625" style="41" bestFit="1" customWidth="1"/>
    <col min="16" max="16" width="15.57421875" style="41" customWidth="1"/>
    <col min="17" max="17" width="15.7109375" style="41" bestFit="1" customWidth="1"/>
    <col min="18" max="18" width="14.140625" style="41" bestFit="1" customWidth="1"/>
    <col min="19" max="19" width="15.7109375" style="41" bestFit="1" customWidth="1"/>
    <col min="20" max="16384" width="11.421875" style="41" customWidth="1"/>
  </cols>
  <sheetData>
    <row r="1" spans="1:14" ht="15">
      <c r="A1" s="31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5" ht="15">
      <c r="A2" s="31" t="s">
        <v>601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5">
      <c r="A3" s="31" t="s">
        <v>600</v>
      </c>
      <c r="B3" s="72">
        <v>0.07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ht="6.75" customHeight="1" thickBot="1"/>
    <row r="5" spans="1:18" s="31" customFormat="1" ht="16.5" thickBot="1">
      <c r="A5" s="43"/>
      <c r="B5" s="71" t="s">
        <v>602</v>
      </c>
      <c r="C5" s="71" t="s">
        <v>170</v>
      </c>
      <c r="D5" s="71" t="s">
        <v>171</v>
      </c>
      <c r="E5" s="71" t="s">
        <v>172</v>
      </c>
      <c r="F5" s="71" t="s">
        <v>173</v>
      </c>
      <c r="G5" s="71" t="s">
        <v>174</v>
      </c>
      <c r="H5" s="71" t="s">
        <v>175</v>
      </c>
      <c r="I5" s="71" t="s">
        <v>176</v>
      </c>
      <c r="J5" s="71" t="s">
        <v>177</v>
      </c>
      <c r="K5" s="71" t="s">
        <v>178</v>
      </c>
      <c r="L5" s="71" t="s">
        <v>179</v>
      </c>
      <c r="M5" s="71" t="s">
        <v>180</v>
      </c>
      <c r="N5" s="71" t="s">
        <v>181</v>
      </c>
      <c r="O5" s="71" t="s">
        <v>603</v>
      </c>
      <c r="P5" s="71" t="s">
        <v>604</v>
      </c>
      <c r="R5" s="168"/>
    </row>
    <row r="6" ht="8.25" customHeight="1" thickBot="1">
      <c r="A6" s="44"/>
    </row>
    <row r="7" spans="1:19" s="31" customFormat="1" ht="15">
      <c r="A7" s="45" t="s">
        <v>183</v>
      </c>
      <c r="B7" s="275">
        <f aca="true" t="shared" si="0" ref="B7">+B8+B51</f>
        <v>2248372280.6141663</v>
      </c>
      <c r="C7" s="46">
        <f aca="true" t="shared" si="1" ref="C7:O7">+C8+C51</f>
        <v>175426803.7183683</v>
      </c>
      <c r="D7" s="46">
        <f t="shared" si="1"/>
        <v>273679243.6224489</v>
      </c>
      <c r="E7" s="46">
        <f t="shared" si="1"/>
        <v>1277644271.9094296</v>
      </c>
      <c r="F7" s="46">
        <f t="shared" si="1"/>
        <v>170067915.8517958</v>
      </c>
      <c r="G7" s="46">
        <f t="shared" si="1"/>
        <v>127272564.44547437</v>
      </c>
      <c r="H7" s="46">
        <f t="shared" si="1"/>
        <v>107239684.85004224</v>
      </c>
      <c r="I7" s="46">
        <f t="shared" si="1"/>
        <v>73638284.20727558</v>
      </c>
      <c r="J7" s="46">
        <f t="shared" si="1"/>
        <v>80138417.59587896</v>
      </c>
      <c r="K7" s="46">
        <f t="shared" si="1"/>
        <v>74846503.80796805</v>
      </c>
      <c r="L7" s="46">
        <f t="shared" si="1"/>
        <v>58337664.15342144</v>
      </c>
      <c r="M7" s="46">
        <f t="shared" si="1"/>
        <v>34633329.15736928</v>
      </c>
      <c r="N7" s="46">
        <f t="shared" si="1"/>
        <v>30958362.151263796</v>
      </c>
      <c r="O7" s="274">
        <f t="shared" si="1"/>
        <v>2483883045.4707365</v>
      </c>
      <c r="P7" s="38">
        <f>+(O7-B7)/B7</f>
        <v>0.10474722842261604</v>
      </c>
      <c r="Q7" s="254"/>
      <c r="R7" s="168">
        <f>+R9+R13+R18+R29+R32+R39+R44</f>
        <v>820000</v>
      </c>
      <c r="S7" s="47"/>
    </row>
    <row r="8" spans="1:16" s="31" customFormat="1" ht="15">
      <c r="A8" s="29" t="s">
        <v>184</v>
      </c>
      <c r="B8" s="260">
        <f>+B9+B13+B18+B30+B32+B37+B39+B44+B49</f>
        <v>2211058668.6141663</v>
      </c>
      <c r="C8" s="30">
        <f>+C9+C13+C18+C30+C32+C37+C39+C44</f>
        <v>175424592.0283683</v>
      </c>
      <c r="D8" s="30">
        <f aca="true" t="shared" si="2" ref="D8:O8">+D9+D13+D18+D30+D32+D37+D39+D44</f>
        <v>273670654.73244894</v>
      </c>
      <c r="E8" s="30">
        <f t="shared" si="2"/>
        <v>1262624666.2994297</v>
      </c>
      <c r="F8" s="30">
        <f t="shared" si="2"/>
        <v>161064055.0317958</v>
      </c>
      <c r="G8" s="30">
        <f t="shared" si="2"/>
        <v>124369564.56547438</v>
      </c>
      <c r="H8" s="30">
        <f t="shared" si="2"/>
        <v>99058855.19004224</v>
      </c>
      <c r="I8" s="30">
        <f t="shared" si="2"/>
        <v>70461923.93727559</v>
      </c>
      <c r="J8" s="30">
        <f t="shared" si="2"/>
        <v>76210948.35587896</v>
      </c>
      <c r="K8" s="30">
        <f t="shared" si="2"/>
        <v>68108697.75796805</v>
      </c>
      <c r="L8" s="30">
        <f t="shared" si="2"/>
        <v>54908612.68342144</v>
      </c>
      <c r="M8" s="30">
        <f t="shared" si="2"/>
        <v>34579829.15736928</v>
      </c>
      <c r="N8" s="30">
        <f t="shared" si="2"/>
        <v>30904862.151263796</v>
      </c>
      <c r="O8" s="269">
        <f t="shared" si="2"/>
        <v>2431387261.8907366</v>
      </c>
      <c r="P8" s="39">
        <f aca="true" t="shared" si="3" ref="P8:P55">+(O8-B8)/B8</f>
        <v>0.09964846089528077</v>
      </c>
    </row>
    <row r="9" spans="1:19" s="31" customFormat="1" ht="15">
      <c r="A9" s="29" t="s">
        <v>185</v>
      </c>
      <c r="B9" s="260">
        <f>SUM(B10:B12)</f>
        <v>253092253.1553174</v>
      </c>
      <c r="C9" s="30">
        <f>SUM(C10:C12)</f>
        <v>28234920</v>
      </c>
      <c r="D9" s="30">
        <f aca="true" t="shared" si="4" ref="D9:O9">SUM(D10:D12)</f>
        <v>33000870</v>
      </c>
      <c r="E9" s="30">
        <f t="shared" si="4"/>
        <v>23636299.999999996</v>
      </c>
      <c r="F9" s="30">
        <f t="shared" si="4"/>
        <v>24977050</v>
      </c>
      <c r="G9" s="30">
        <f t="shared" si="4"/>
        <v>23288090</v>
      </c>
      <c r="H9" s="30">
        <f t="shared" si="4"/>
        <v>27485440</v>
      </c>
      <c r="I9" s="30">
        <f t="shared" si="4"/>
        <v>22206680</v>
      </c>
      <c r="J9" s="30">
        <f t="shared" si="4"/>
        <v>23221840</v>
      </c>
      <c r="K9" s="30">
        <f t="shared" si="4"/>
        <v>19530790</v>
      </c>
      <c r="L9" s="30">
        <f t="shared" si="4"/>
        <v>19196010</v>
      </c>
      <c r="M9" s="30">
        <f t="shared" si="4"/>
        <v>7083782.862233769</v>
      </c>
      <c r="N9" s="30">
        <f t="shared" si="4"/>
        <v>6182739.869180492</v>
      </c>
      <c r="O9" s="269">
        <f t="shared" si="4"/>
        <v>258044512.73141426</v>
      </c>
      <c r="P9" s="39">
        <f t="shared" si="3"/>
        <v>0.01956701366539957</v>
      </c>
      <c r="R9" s="31">
        <v>100000</v>
      </c>
      <c r="S9" s="47"/>
    </row>
    <row r="10" spans="1:19" ht="15">
      <c r="A10" s="163" t="s">
        <v>186</v>
      </c>
      <c r="B10" s="257">
        <f>+O390</f>
        <v>147887160.27992693</v>
      </c>
      <c r="C10" s="49">
        <f>+$Q$390*C395</f>
        <v>19003120</v>
      </c>
      <c r="D10" s="49">
        <f aca="true" t="shared" si="5" ref="D10:N10">+$Q$390*D395</f>
        <v>22639719.999999996</v>
      </c>
      <c r="E10" s="49">
        <f t="shared" si="5"/>
        <v>14871199.999999998</v>
      </c>
      <c r="F10" s="49">
        <f t="shared" si="5"/>
        <v>16466200</v>
      </c>
      <c r="G10" s="49">
        <f t="shared" si="5"/>
        <v>16714440</v>
      </c>
      <c r="H10" s="49">
        <f t="shared" si="5"/>
        <v>18042640</v>
      </c>
      <c r="I10" s="49">
        <f t="shared" si="5"/>
        <v>15373479.999999998</v>
      </c>
      <c r="J10" s="49">
        <f t="shared" si="5"/>
        <v>14197239.999999998</v>
      </c>
      <c r="K10" s="49">
        <f t="shared" si="5"/>
        <v>12874839.999999998</v>
      </c>
      <c r="L10" s="49">
        <f t="shared" si="5"/>
        <v>12784360</v>
      </c>
      <c r="M10" s="49">
        <f t="shared" si="5"/>
        <v>4582408.566777039</v>
      </c>
      <c r="N10" s="49">
        <f t="shared" si="5"/>
        <v>3999457.357938173</v>
      </c>
      <c r="O10" s="256">
        <f>SUM(C10:N10)</f>
        <v>171549105.92471522</v>
      </c>
      <c r="P10" s="50">
        <f t="shared" si="3"/>
        <v>0.15999999999999992</v>
      </c>
      <c r="S10" s="42"/>
    </row>
    <row r="11" spans="1:16" ht="15">
      <c r="A11" s="163" t="s">
        <v>187</v>
      </c>
      <c r="B11" s="257">
        <f aca="true" t="shared" si="6" ref="B11:B12">+O391</f>
        <v>120182092.87539047</v>
      </c>
      <c r="C11" s="49">
        <f>+$Q$391*C396</f>
        <v>14917799.999999998</v>
      </c>
      <c r="D11" s="49">
        <f aca="true" t="shared" si="7" ref="D11:N11">+$Q$391*D396</f>
        <v>16124150</v>
      </c>
      <c r="E11" s="49">
        <f t="shared" si="7"/>
        <v>13126099.999999998</v>
      </c>
      <c r="F11" s="49">
        <f t="shared" si="7"/>
        <v>13246850</v>
      </c>
      <c r="G11" s="49">
        <f t="shared" si="7"/>
        <v>12087650</v>
      </c>
      <c r="H11" s="49">
        <f t="shared" si="7"/>
        <v>13606800</v>
      </c>
      <c r="I11" s="49">
        <f t="shared" si="7"/>
        <v>11371200</v>
      </c>
      <c r="J11" s="49">
        <f t="shared" si="7"/>
        <v>13275600</v>
      </c>
      <c r="K11" s="49">
        <f t="shared" si="7"/>
        <v>11100950</v>
      </c>
      <c r="L11" s="49">
        <f t="shared" si="7"/>
        <v>10753650</v>
      </c>
      <c r="M11" s="49">
        <f t="shared" si="7"/>
        <v>4591374.295456729</v>
      </c>
      <c r="N11" s="49">
        <f t="shared" si="7"/>
        <v>4007282.511242319</v>
      </c>
      <c r="O11" s="256">
        <f>SUM(C11:N11)</f>
        <v>138209406.80669904</v>
      </c>
      <c r="P11" s="50">
        <f t="shared" si="3"/>
        <v>0.14999999999999997</v>
      </c>
    </row>
    <row r="12" spans="1:16" ht="15">
      <c r="A12" s="163" t="s">
        <v>659</v>
      </c>
      <c r="B12" s="257">
        <f t="shared" si="6"/>
        <v>-14977000</v>
      </c>
      <c r="C12" s="49">
        <f>-6686000+1000000</f>
        <v>-5686000</v>
      </c>
      <c r="D12" s="49">
        <f>-6763000+1000000</f>
        <v>-5763000</v>
      </c>
      <c r="E12" s="49">
        <f>-5361000+1000000</f>
        <v>-4361000</v>
      </c>
      <c r="F12" s="49">
        <f>-5736000+1000000</f>
        <v>-4736000</v>
      </c>
      <c r="G12" s="49">
        <f>-6514000+1000000</f>
        <v>-5514000</v>
      </c>
      <c r="H12" s="49">
        <f>-5164000+1000000</f>
        <v>-4164000</v>
      </c>
      <c r="I12" s="49">
        <v>-4538000</v>
      </c>
      <c r="J12" s="49">
        <f>-5251000+1000000</f>
        <v>-4251000</v>
      </c>
      <c r="K12" s="49">
        <f>-5445000+1000000</f>
        <v>-4445000</v>
      </c>
      <c r="L12" s="49">
        <f>-5342000+1000000</f>
        <v>-4342000</v>
      </c>
      <c r="M12" s="49">
        <v>-2090000</v>
      </c>
      <c r="N12" s="49">
        <v>-1824000</v>
      </c>
      <c r="O12" s="256">
        <f>SUM(C12:N12)</f>
        <v>-51714000</v>
      </c>
      <c r="P12" s="50">
        <f t="shared" si="3"/>
        <v>2.452894438138479</v>
      </c>
    </row>
    <row r="13" spans="1:18" s="31" customFormat="1" ht="15">
      <c r="A13" s="29" t="s">
        <v>188</v>
      </c>
      <c r="B13" s="260">
        <f>SUM(B14:B17)</f>
        <v>1533809126.3406339</v>
      </c>
      <c r="C13" s="30">
        <f>SUM(C14:C17)</f>
        <v>117638732.25534841</v>
      </c>
      <c r="D13" s="30">
        <f aca="true" t="shared" si="8" ref="D13:F13">SUM(D14:D17)</f>
        <v>195655388.33327484</v>
      </c>
      <c r="E13" s="30">
        <f t="shared" si="8"/>
        <v>1066611124.1016618</v>
      </c>
      <c r="F13" s="30">
        <f t="shared" si="8"/>
        <v>84496643.79954404</v>
      </c>
      <c r="G13" s="30">
        <f aca="true" t="shared" si="9" ref="G13">SUM(G14:G17)</f>
        <v>68028770.36504021</v>
      </c>
      <c r="H13" s="30">
        <f aca="true" t="shared" si="10" ref="H13">SUM(H14:H17)</f>
        <v>46330079.266332306</v>
      </c>
      <c r="I13" s="30">
        <f aca="true" t="shared" si="11" ref="I13">SUM(I14:I17)</f>
        <v>26963401.314742282</v>
      </c>
      <c r="J13" s="30">
        <f aca="true" t="shared" si="12" ref="J13">SUM(J14:J17)</f>
        <v>30865003.85559984</v>
      </c>
      <c r="K13" s="30">
        <f aca="true" t="shared" si="13" ref="K13">SUM(K14:K17)</f>
        <v>24226469.206636894</v>
      </c>
      <c r="L13" s="30">
        <f aca="true" t="shared" si="14" ref="L13">SUM(L14:L17)</f>
        <v>15506500.991047576</v>
      </c>
      <c r="M13" s="30">
        <f aca="true" t="shared" si="15" ref="M13">SUM(M14:M17)</f>
        <v>13993693.91609412</v>
      </c>
      <c r="N13" s="30">
        <f aca="true" t="shared" si="16" ref="N13:O13">SUM(N14:N17)</f>
        <v>12212322.832781103</v>
      </c>
      <c r="O13" s="269">
        <f t="shared" si="16"/>
        <v>1702528130.2381034</v>
      </c>
      <c r="P13" s="39">
        <f t="shared" si="3"/>
        <v>0.10999999999999986</v>
      </c>
      <c r="R13" s="31">
        <v>600000</v>
      </c>
    </row>
    <row r="14" spans="1:16" ht="15">
      <c r="A14" s="163" t="s">
        <v>189</v>
      </c>
      <c r="B14" s="257">
        <f>+O399</f>
        <v>997592060.1983237</v>
      </c>
      <c r="C14" s="49">
        <f>+$Q$399*C405</f>
        <v>61541299.17148303</v>
      </c>
      <c r="D14" s="49">
        <f aca="true" t="shared" si="17" ref="D14:M14">+$Q$399*D405</f>
        <v>107551117.48909402</v>
      </c>
      <c r="E14" s="49">
        <f t="shared" si="17"/>
        <v>720526368.6977017</v>
      </c>
      <c r="F14" s="49">
        <f t="shared" si="17"/>
        <v>53160222.53275165</v>
      </c>
      <c r="G14" s="49">
        <f t="shared" si="17"/>
        <v>45676374.09588943</v>
      </c>
      <c r="H14" s="49">
        <f t="shared" si="17"/>
        <v>31189100.14688221</v>
      </c>
      <c r="I14" s="49">
        <f t="shared" si="17"/>
        <v>15216683.184023103</v>
      </c>
      <c r="J14" s="49">
        <f t="shared" si="17"/>
        <v>20170084.846176084</v>
      </c>
      <c r="K14" s="49">
        <f t="shared" si="17"/>
        <v>15290172.535520943</v>
      </c>
      <c r="L14" s="49">
        <f t="shared" si="17"/>
        <v>9075386.481987108</v>
      </c>
      <c r="M14" s="49">
        <f t="shared" si="17"/>
        <v>7912635.832768076</v>
      </c>
      <c r="N14" s="49">
        <f>+$Q$399*N405</f>
        <v>6905384.2897516675</v>
      </c>
      <c r="O14" s="256">
        <f>SUM(C14:N14)</f>
        <v>1094214829.304029</v>
      </c>
      <c r="P14" s="50">
        <f t="shared" si="3"/>
        <v>0.09685599250508913</v>
      </c>
    </row>
    <row r="15" spans="1:16" ht="15">
      <c r="A15" s="163" t="s">
        <v>190</v>
      </c>
      <c r="B15" s="257">
        <f aca="true" t="shared" si="18" ref="B15:B17">+O400</f>
        <v>548049216.1423101</v>
      </c>
      <c r="C15" s="49">
        <f>+$Q$400*C406</f>
        <v>56097433.08386539</v>
      </c>
      <c r="D15" s="49">
        <f aca="true" t="shared" si="19" ref="D15:M15">+$Q$400*D406</f>
        <v>88104270.84418082</v>
      </c>
      <c r="E15" s="49">
        <f t="shared" si="19"/>
        <v>346084755.4039601</v>
      </c>
      <c r="F15" s="49">
        <f t="shared" si="19"/>
        <v>31336421.266792394</v>
      </c>
      <c r="G15" s="49">
        <f t="shared" si="19"/>
        <v>22352396.269150794</v>
      </c>
      <c r="H15" s="49">
        <f t="shared" si="19"/>
        <v>15140979.119450094</v>
      </c>
      <c r="I15" s="49">
        <f t="shared" si="19"/>
        <v>11746718.13071918</v>
      </c>
      <c r="J15" s="49">
        <f t="shared" si="19"/>
        <v>10694919.009423755</v>
      </c>
      <c r="K15" s="49">
        <f t="shared" si="19"/>
        <v>8936296.671115952</v>
      </c>
      <c r="L15" s="49">
        <f t="shared" si="19"/>
        <v>6431114.509060468</v>
      </c>
      <c r="M15" s="49">
        <f t="shared" si="19"/>
        <v>6081058.0833260445</v>
      </c>
      <c r="N15" s="49">
        <f>+$Q$400*N406</f>
        <v>5306938.543029436</v>
      </c>
      <c r="O15" s="256">
        <f>SUM(C15:N15)</f>
        <v>608313300.9340745</v>
      </c>
      <c r="P15" s="50">
        <f t="shared" si="3"/>
        <v>0.10996108199179652</v>
      </c>
    </row>
    <row r="16" spans="1:16" ht="15">
      <c r="A16" s="163" t="s">
        <v>191</v>
      </c>
      <c r="B16" s="257">
        <f t="shared" si="18"/>
        <v>-13300</v>
      </c>
      <c r="C16" s="49">
        <f>+$Q$401*C407</f>
        <v>0</v>
      </c>
      <c r="D16" s="49">
        <f aca="true" t="shared" si="20" ref="D16:M16">+$Q$401*D407</f>
        <v>0</v>
      </c>
      <c r="E16" s="49">
        <f t="shared" si="20"/>
        <v>0</v>
      </c>
      <c r="F16" s="49">
        <f t="shared" si="20"/>
        <v>0</v>
      </c>
      <c r="G16" s="49">
        <f t="shared" si="20"/>
        <v>0</v>
      </c>
      <c r="H16" s="49">
        <f t="shared" si="20"/>
        <v>0</v>
      </c>
      <c r="I16" s="49">
        <f t="shared" si="20"/>
        <v>0</v>
      </c>
      <c r="J16" s="49">
        <f t="shared" si="20"/>
        <v>0</v>
      </c>
      <c r="K16" s="49">
        <f t="shared" si="20"/>
        <v>0</v>
      </c>
      <c r="L16" s="49">
        <f t="shared" si="20"/>
        <v>0</v>
      </c>
      <c r="M16" s="49">
        <f t="shared" si="20"/>
        <v>0</v>
      </c>
      <c r="N16" s="49">
        <f>+$Q$401*N407</f>
        <v>0</v>
      </c>
      <c r="O16" s="256">
        <f>SUM(C16:N16)</f>
        <v>0</v>
      </c>
      <c r="P16" s="50">
        <f t="shared" si="3"/>
        <v>-1</v>
      </c>
    </row>
    <row r="17" spans="1:16" ht="15">
      <c r="A17" s="164" t="s">
        <v>291</v>
      </c>
      <c r="B17" s="257">
        <f t="shared" si="18"/>
        <v>-11818850</v>
      </c>
      <c r="C17" s="49">
        <f>+$Q$402*C408</f>
        <v>0</v>
      </c>
      <c r="D17" s="49">
        <f aca="true" t="shared" si="21" ref="D17:M17">+$Q$402*D408</f>
        <v>0</v>
      </c>
      <c r="E17" s="49">
        <f t="shared" si="21"/>
        <v>0</v>
      </c>
      <c r="F17" s="49">
        <f t="shared" si="21"/>
        <v>0</v>
      </c>
      <c r="G17" s="49">
        <f t="shared" si="21"/>
        <v>0</v>
      </c>
      <c r="H17" s="49">
        <f t="shared" si="21"/>
        <v>0</v>
      </c>
      <c r="I17" s="49">
        <f t="shared" si="21"/>
        <v>0</v>
      </c>
      <c r="J17" s="49">
        <f t="shared" si="21"/>
        <v>0</v>
      </c>
      <c r="K17" s="49">
        <f t="shared" si="21"/>
        <v>0</v>
      </c>
      <c r="L17" s="49">
        <f t="shared" si="21"/>
        <v>0</v>
      </c>
      <c r="M17" s="49">
        <f t="shared" si="21"/>
        <v>0</v>
      </c>
      <c r="N17" s="49">
        <f>+$Q$402*N408</f>
        <v>0</v>
      </c>
      <c r="O17" s="256">
        <f>SUM(C17:N17)</f>
        <v>0</v>
      </c>
      <c r="P17" s="50">
        <f t="shared" si="3"/>
        <v>-1</v>
      </c>
    </row>
    <row r="18" spans="1:18" s="31" customFormat="1" ht="15">
      <c r="A18" s="29" t="s">
        <v>192</v>
      </c>
      <c r="B18" s="260">
        <f>SUM(B19:B29)</f>
        <v>50331342.89785506</v>
      </c>
      <c r="C18" s="30">
        <f>SUM(C19:C29)</f>
        <v>4990332.702806775</v>
      </c>
      <c r="D18" s="30">
        <f aca="true" t="shared" si="22" ref="D18:O18">SUM(D19:D29)</f>
        <v>5900640.504207856</v>
      </c>
      <c r="E18" s="30">
        <f t="shared" si="22"/>
        <v>11139081.225127554</v>
      </c>
      <c r="F18" s="30">
        <f t="shared" si="22"/>
        <v>4036457.0285675796</v>
      </c>
      <c r="G18" s="30">
        <f t="shared" si="22"/>
        <v>3570707.446380928</v>
      </c>
      <c r="H18" s="30">
        <f t="shared" si="22"/>
        <v>4294770.316963071</v>
      </c>
      <c r="I18" s="30">
        <f t="shared" si="22"/>
        <v>3311831.7711374536</v>
      </c>
      <c r="J18" s="30">
        <f t="shared" si="22"/>
        <v>3168779.45539631</v>
      </c>
      <c r="K18" s="30">
        <f t="shared" si="22"/>
        <v>4770078.593009779</v>
      </c>
      <c r="L18" s="30">
        <f t="shared" si="22"/>
        <v>4742011.071193074</v>
      </c>
      <c r="M18" s="30">
        <f t="shared" si="22"/>
        <v>3173638.216616228</v>
      </c>
      <c r="N18" s="30">
        <f t="shared" si="22"/>
        <v>2769462.2852125135</v>
      </c>
      <c r="O18" s="269">
        <f t="shared" si="22"/>
        <v>55867790.616619125</v>
      </c>
      <c r="P18" s="39">
        <f t="shared" si="3"/>
        <v>0.11000000000000021</v>
      </c>
      <c r="R18" s="31">
        <v>20000</v>
      </c>
    </row>
    <row r="19" spans="1:16" s="31" customFormat="1" ht="15">
      <c r="A19" s="163" t="s">
        <v>257</v>
      </c>
      <c r="B19" s="257">
        <f>+O411</f>
        <v>342121.91996178345</v>
      </c>
      <c r="C19" s="49">
        <f aca="true" t="shared" si="23" ref="C19:N19">+$Q$411*C424</f>
        <v>0</v>
      </c>
      <c r="D19" s="49">
        <f t="shared" si="23"/>
        <v>0</v>
      </c>
      <c r="E19" s="49">
        <f t="shared" si="23"/>
        <v>0</v>
      </c>
      <c r="F19" s="49">
        <f t="shared" si="23"/>
        <v>0</v>
      </c>
      <c r="G19" s="49">
        <f t="shared" si="23"/>
        <v>0</v>
      </c>
      <c r="H19" s="49">
        <f t="shared" si="23"/>
        <v>0</v>
      </c>
      <c r="I19" s="49">
        <f t="shared" si="23"/>
        <v>0</v>
      </c>
      <c r="J19" s="49">
        <f t="shared" si="23"/>
        <v>0</v>
      </c>
      <c r="K19" s="49">
        <f t="shared" si="23"/>
        <v>0</v>
      </c>
      <c r="L19" s="49">
        <f t="shared" si="23"/>
        <v>264542.5958355222</v>
      </c>
      <c r="M19" s="49">
        <f t="shared" si="23"/>
        <v>127230.22897352175</v>
      </c>
      <c r="N19" s="49">
        <f t="shared" si="23"/>
        <v>111037.29074052809</v>
      </c>
      <c r="O19" s="256">
        <f>SUM(C19:N19)</f>
        <v>502810.11554957204</v>
      </c>
      <c r="P19" s="50">
        <f t="shared" si="3"/>
        <v>0.46968108797512353</v>
      </c>
    </row>
    <row r="20" spans="1:16" ht="15">
      <c r="A20" s="163" t="s">
        <v>193</v>
      </c>
      <c r="B20" s="257">
        <f aca="true" t="shared" si="24" ref="B20:B29">+O412</f>
        <v>2070233.804440678</v>
      </c>
      <c r="C20" s="49">
        <f>+$Q$412*C425</f>
        <v>82772.14245643643</v>
      </c>
      <c r="D20" s="49">
        <f aca="true" t="shared" si="25" ref="D20:N20">+$Q$412*D425</f>
        <v>124158.21368465465</v>
      </c>
      <c r="E20" s="49">
        <f t="shared" si="25"/>
        <v>124158.21368465465</v>
      </c>
      <c r="F20" s="49">
        <f t="shared" si="25"/>
        <v>41386.071228218214</v>
      </c>
      <c r="G20" s="49">
        <f t="shared" si="25"/>
        <v>41386.071228218214</v>
      </c>
      <c r="H20" s="49">
        <f t="shared" si="25"/>
        <v>579404.997195055</v>
      </c>
      <c r="I20" s="49">
        <f t="shared" si="25"/>
        <v>0</v>
      </c>
      <c r="J20" s="49">
        <f t="shared" si="25"/>
        <v>0</v>
      </c>
      <c r="K20" s="49">
        <f t="shared" si="25"/>
        <v>124158.21368465465</v>
      </c>
      <c r="L20" s="49">
        <f t="shared" si="25"/>
        <v>579404.997195055</v>
      </c>
      <c r="M20" s="49">
        <f t="shared" si="25"/>
        <v>364782.9397583156</v>
      </c>
      <c r="N20" s="49">
        <f t="shared" si="25"/>
        <v>318356.02015271183</v>
      </c>
      <c r="O20" s="256">
        <f aca="true" t="shared" si="26" ref="O20:O31">SUM(C20:N20)</f>
        <v>2379967.8802679745</v>
      </c>
      <c r="P20" s="50">
        <f t="shared" si="3"/>
        <v>0.14961308967272816</v>
      </c>
    </row>
    <row r="21" spans="1:16" ht="15">
      <c r="A21" s="163" t="s">
        <v>194</v>
      </c>
      <c r="B21" s="257">
        <f t="shared" si="24"/>
        <v>3762168.6653114012</v>
      </c>
      <c r="C21" s="49">
        <f>+$Q$413*C426</f>
        <v>512677.6002979945</v>
      </c>
      <c r="D21" s="49">
        <f aca="true" t="shared" si="27" ref="D21:N21">+$Q$413*D426</f>
        <v>366198.28592713893</v>
      </c>
      <c r="E21" s="49">
        <f t="shared" si="27"/>
        <v>402818.11451985285</v>
      </c>
      <c r="F21" s="49">
        <f t="shared" si="27"/>
        <v>476057.77170528064</v>
      </c>
      <c r="G21" s="49">
        <f t="shared" si="27"/>
        <v>366198.28592713893</v>
      </c>
      <c r="H21" s="49">
        <f t="shared" si="27"/>
        <v>268545.40967990184</v>
      </c>
      <c r="I21" s="49">
        <f t="shared" si="27"/>
        <v>256338.80014899725</v>
      </c>
      <c r="J21" s="49">
        <f t="shared" si="27"/>
        <v>219718.9715562834</v>
      </c>
      <c r="K21" s="49">
        <f t="shared" si="27"/>
        <v>622537.0860761362</v>
      </c>
      <c r="L21" s="49">
        <f t="shared" si="27"/>
        <v>170892.53343266484</v>
      </c>
      <c r="M21" s="49">
        <f t="shared" si="27"/>
        <v>88085.8629920978</v>
      </c>
      <c r="N21" s="49">
        <f t="shared" si="27"/>
        <v>76874.9349749217</v>
      </c>
      <c r="O21" s="256">
        <f t="shared" si="26"/>
        <v>3826943.657238409</v>
      </c>
      <c r="P21" s="50">
        <f t="shared" si="3"/>
        <v>0.01721746090871929</v>
      </c>
    </row>
    <row r="22" spans="1:16" ht="15">
      <c r="A22" s="163" t="s">
        <v>195</v>
      </c>
      <c r="B22" s="257">
        <f t="shared" si="24"/>
        <v>1368000</v>
      </c>
      <c r="C22" s="49">
        <f>+$Q$414*C427</f>
        <v>99777.91376792676</v>
      </c>
      <c r="D22" s="49">
        <f aca="true" t="shared" si="28" ref="D22:N22">+$Q$414*D427</f>
        <v>573723.0041655789</v>
      </c>
      <c r="E22" s="49">
        <f t="shared" si="28"/>
        <v>573723.0041655789</v>
      </c>
      <c r="F22" s="49">
        <f t="shared" si="28"/>
        <v>224500.30597783523</v>
      </c>
      <c r="G22" s="49">
        <f t="shared" si="28"/>
        <v>324278.219745762</v>
      </c>
      <c r="H22" s="49">
        <f t="shared" si="28"/>
        <v>0</v>
      </c>
      <c r="I22" s="49">
        <f t="shared" si="28"/>
        <v>174611.34909387183</v>
      </c>
      <c r="J22" s="49">
        <f t="shared" si="28"/>
        <v>199555.82753585352</v>
      </c>
      <c r="K22" s="49">
        <f t="shared" si="28"/>
        <v>673500.9179335056</v>
      </c>
      <c r="L22" s="49">
        <f t="shared" si="28"/>
        <v>0</v>
      </c>
      <c r="M22" s="49">
        <f t="shared" si="28"/>
        <v>0</v>
      </c>
      <c r="N22" s="49">
        <f t="shared" si="28"/>
        <v>0</v>
      </c>
      <c r="O22" s="256">
        <f t="shared" si="26"/>
        <v>2843670.542385913</v>
      </c>
      <c r="P22" s="50">
        <f t="shared" si="3"/>
        <v>1.0787065368318076</v>
      </c>
    </row>
    <row r="23" spans="1:16" ht="15">
      <c r="A23" s="163" t="s">
        <v>196</v>
      </c>
      <c r="B23" s="257">
        <f t="shared" si="24"/>
        <v>2000</v>
      </c>
      <c r="C23" s="49">
        <f>+$Q$415*C428</f>
        <v>33520.674369971464</v>
      </c>
      <c r="D23" s="49">
        <f aca="true" t="shared" si="29" ref="D23:N23">+$Q$415*D428</f>
        <v>0</v>
      </c>
      <c r="E23" s="49">
        <f t="shared" si="29"/>
        <v>0</v>
      </c>
      <c r="F23" s="49">
        <f t="shared" si="29"/>
        <v>0</v>
      </c>
      <c r="G23" s="49">
        <f t="shared" si="29"/>
        <v>0</v>
      </c>
      <c r="H23" s="49">
        <f t="shared" si="29"/>
        <v>0</v>
      </c>
      <c r="I23" s="49">
        <f t="shared" si="29"/>
        <v>0</v>
      </c>
      <c r="J23" s="49">
        <f t="shared" si="29"/>
        <v>0</v>
      </c>
      <c r="K23" s="49">
        <f t="shared" si="29"/>
        <v>0</v>
      </c>
      <c r="L23" s="49">
        <f t="shared" si="29"/>
        <v>0</v>
      </c>
      <c r="M23" s="49">
        <f t="shared" si="29"/>
        <v>0</v>
      </c>
      <c r="N23" s="49">
        <f t="shared" si="29"/>
        <v>0</v>
      </c>
      <c r="O23" s="256">
        <f t="shared" si="26"/>
        <v>33520.674369971464</v>
      </c>
      <c r="P23" s="50">
        <f t="shared" si="3"/>
        <v>15.760337184985731</v>
      </c>
    </row>
    <row r="24" spans="1:16" ht="15">
      <c r="A24" s="163" t="s">
        <v>197</v>
      </c>
      <c r="B24" s="257">
        <f t="shared" si="24"/>
        <v>46000</v>
      </c>
      <c r="C24" s="49">
        <f>+$Q$416*C429</f>
        <v>0</v>
      </c>
      <c r="D24" s="49">
        <f aca="true" t="shared" si="30" ref="D24:N24">+$Q$416*D429</f>
        <v>0</v>
      </c>
      <c r="E24" s="49">
        <f t="shared" si="30"/>
        <v>0</v>
      </c>
      <c r="F24" s="49">
        <f t="shared" si="30"/>
        <v>0</v>
      </c>
      <c r="G24" s="49">
        <f t="shared" si="30"/>
        <v>0</v>
      </c>
      <c r="H24" s="49">
        <f t="shared" si="30"/>
        <v>0</v>
      </c>
      <c r="I24" s="49">
        <f t="shared" si="30"/>
        <v>0</v>
      </c>
      <c r="J24" s="49">
        <f t="shared" si="30"/>
        <v>0</v>
      </c>
      <c r="K24" s="49">
        <f t="shared" si="30"/>
        <v>0</v>
      </c>
      <c r="L24" s="49">
        <f t="shared" si="30"/>
        <v>0</v>
      </c>
      <c r="M24" s="49">
        <f t="shared" si="30"/>
        <v>0</v>
      </c>
      <c r="N24" s="49">
        <f t="shared" si="30"/>
        <v>0</v>
      </c>
      <c r="O24" s="256">
        <f t="shared" si="26"/>
        <v>0</v>
      </c>
      <c r="P24" s="50">
        <v>0</v>
      </c>
    </row>
    <row r="25" spans="1:16" ht="15">
      <c r="A25" s="163" t="s">
        <v>198</v>
      </c>
      <c r="B25" s="257">
        <f t="shared" si="24"/>
        <v>46000</v>
      </c>
      <c r="C25" s="49">
        <f>+$Q$417*C430</f>
        <v>0</v>
      </c>
      <c r="D25" s="49">
        <f aca="true" t="shared" si="31" ref="D25:N25">+$Q$417*D430</f>
        <v>44694.2324932953</v>
      </c>
      <c r="E25" s="49">
        <f t="shared" si="31"/>
        <v>0</v>
      </c>
      <c r="F25" s="49">
        <f t="shared" si="31"/>
        <v>0</v>
      </c>
      <c r="G25" s="49">
        <f t="shared" si="31"/>
        <v>0</v>
      </c>
      <c r="H25" s="49">
        <f t="shared" si="31"/>
        <v>0</v>
      </c>
      <c r="I25" s="49">
        <f t="shared" si="31"/>
        <v>0</v>
      </c>
      <c r="J25" s="49">
        <f t="shared" si="31"/>
        <v>0</v>
      </c>
      <c r="K25" s="49">
        <f t="shared" si="31"/>
        <v>0</v>
      </c>
      <c r="L25" s="49">
        <f t="shared" si="31"/>
        <v>0</v>
      </c>
      <c r="M25" s="49">
        <f t="shared" si="31"/>
        <v>0</v>
      </c>
      <c r="N25" s="49">
        <f t="shared" si="31"/>
        <v>0</v>
      </c>
      <c r="O25" s="256">
        <f t="shared" si="26"/>
        <v>44694.2324932953</v>
      </c>
      <c r="P25" s="50">
        <v>0</v>
      </c>
    </row>
    <row r="26" spans="1:16" ht="15">
      <c r="A26" s="163" t="s">
        <v>199</v>
      </c>
      <c r="B26" s="257">
        <f t="shared" si="24"/>
        <v>10786114.093111403</v>
      </c>
      <c r="C26" s="49">
        <f>+$Q$418*C431</f>
        <v>583609.5585710376</v>
      </c>
      <c r="D26" s="49">
        <f aca="true" t="shared" si="32" ref="D26:N26">+$Q$418*D431</f>
        <v>634533.2413847891</v>
      </c>
      <c r="E26" s="49">
        <f t="shared" si="32"/>
        <v>987275.3525749058</v>
      </c>
      <c r="F26" s="49">
        <f t="shared" si="32"/>
        <v>820012.1888664968</v>
      </c>
      <c r="G26" s="49">
        <f t="shared" si="32"/>
        <v>995729.086480746</v>
      </c>
      <c r="H26" s="49">
        <f t="shared" si="32"/>
        <v>1112873.6848902456</v>
      </c>
      <c r="I26" s="49">
        <f t="shared" si="32"/>
        <v>1034777.2859505791</v>
      </c>
      <c r="J26" s="49">
        <f t="shared" si="32"/>
        <v>910688.548975568</v>
      </c>
      <c r="K26" s="49">
        <f t="shared" si="32"/>
        <v>1100293.7237208406</v>
      </c>
      <c r="L26" s="49">
        <f t="shared" si="32"/>
        <v>1315058.8208049228</v>
      </c>
      <c r="M26" s="49">
        <f t="shared" si="32"/>
        <v>726106.2737316368</v>
      </c>
      <c r="N26" s="49">
        <f t="shared" si="32"/>
        <v>634153.9508573248</v>
      </c>
      <c r="O26" s="256">
        <f t="shared" si="26"/>
        <v>10855111.716809096</v>
      </c>
      <c r="P26" s="50">
        <f t="shared" si="3"/>
        <v>0.006396893552401615</v>
      </c>
    </row>
    <row r="27" spans="1:16" ht="15">
      <c r="A27" s="163" t="s">
        <v>200</v>
      </c>
      <c r="B27" s="257">
        <f t="shared" si="24"/>
        <v>30845634.49512201</v>
      </c>
      <c r="C27" s="49">
        <f>+$Q$419*C432</f>
        <v>3581629.833491365</v>
      </c>
      <c r="D27" s="49">
        <f aca="true" t="shared" si="33" ref="D27:N27">+$Q$419*D432</f>
        <v>4060988.5467003547</v>
      </c>
      <c r="E27" s="49">
        <f t="shared" si="33"/>
        <v>8713899.110700404</v>
      </c>
      <c r="F27" s="49">
        <f t="shared" si="33"/>
        <v>2329983.221011682</v>
      </c>
      <c r="G27" s="49">
        <f t="shared" si="33"/>
        <v>1746770.8031470184</v>
      </c>
      <c r="H27" s="49">
        <f t="shared" si="33"/>
        <v>2285773.7352718464</v>
      </c>
      <c r="I27" s="49">
        <f t="shared" si="33"/>
        <v>1846104.3359440055</v>
      </c>
      <c r="J27" s="49">
        <f t="shared" si="33"/>
        <v>1742471.1274765607</v>
      </c>
      <c r="K27" s="49">
        <f t="shared" si="33"/>
        <v>2056898.691890553</v>
      </c>
      <c r="L27" s="49">
        <f t="shared" si="33"/>
        <v>2363939.633998887</v>
      </c>
      <c r="M27" s="49">
        <f t="shared" si="33"/>
        <v>1750260.1851551975</v>
      </c>
      <c r="N27" s="49">
        <f t="shared" si="33"/>
        <v>1528004.9235481883</v>
      </c>
      <c r="O27" s="256">
        <f t="shared" si="26"/>
        <v>34006724.14833606</v>
      </c>
      <c r="P27" s="50">
        <f t="shared" si="3"/>
        <v>0.10248094114303109</v>
      </c>
    </row>
    <row r="28" spans="1:16" ht="15">
      <c r="A28" s="163" t="s">
        <v>201</v>
      </c>
      <c r="B28" s="257">
        <f t="shared" si="24"/>
        <v>36000</v>
      </c>
      <c r="C28" s="49">
        <f>+$Q$420*C433</f>
        <v>0</v>
      </c>
      <c r="D28" s="49">
        <f aca="true" t="shared" si="34" ref="D28:N28">+$Q$420*D433</f>
        <v>0</v>
      </c>
      <c r="E28" s="49">
        <f t="shared" si="34"/>
        <v>0</v>
      </c>
      <c r="F28" s="49">
        <f t="shared" si="34"/>
        <v>0</v>
      </c>
      <c r="G28" s="49">
        <f t="shared" si="34"/>
        <v>0</v>
      </c>
      <c r="H28" s="49">
        <f t="shared" si="34"/>
        <v>0</v>
      </c>
      <c r="I28" s="49">
        <f t="shared" si="34"/>
        <v>0</v>
      </c>
      <c r="J28" s="49">
        <f t="shared" si="34"/>
        <v>0</v>
      </c>
      <c r="K28" s="49">
        <f t="shared" si="34"/>
        <v>0</v>
      </c>
      <c r="L28" s="49">
        <f t="shared" si="34"/>
        <v>0</v>
      </c>
      <c r="M28" s="49">
        <f t="shared" si="34"/>
        <v>0</v>
      </c>
      <c r="N28" s="49">
        <f t="shared" si="34"/>
        <v>0</v>
      </c>
      <c r="O28" s="256">
        <f t="shared" si="26"/>
        <v>0</v>
      </c>
      <c r="P28" s="50">
        <v>0</v>
      </c>
    </row>
    <row r="29" spans="1:18" ht="15">
      <c r="A29" s="163" t="s">
        <v>202</v>
      </c>
      <c r="B29" s="257">
        <f t="shared" si="24"/>
        <v>1027069.9199077783</v>
      </c>
      <c r="C29" s="49">
        <f>+$Q$421*C434</f>
        <v>96344.97985204443</v>
      </c>
      <c r="D29" s="49">
        <f aca="true" t="shared" si="35" ref="D29:N29">+$Q$421*D434</f>
        <v>96344.97985204443</v>
      </c>
      <c r="E29" s="49">
        <f t="shared" si="35"/>
        <v>337207.42948215554</v>
      </c>
      <c r="F29" s="49">
        <f t="shared" si="35"/>
        <v>144517.46977806665</v>
      </c>
      <c r="G29" s="49">
        <f t="shared" si="35"/>
        <v>96344.97985204443</v>
      </c>
      <c r="H29" s="49">
        <f t="shared" si="35"/>
        <v>48172.489926022216</v>
      </c>
      <c r="I29" s="49">
        <f t="shared" si="35"/>
        <v>0</v>
      </c>
      <c r="J29" s="49">
        <f t="shared" si="35"/>
        <v>96344.97985204443</v>
      </c>
      <c r="K29" s="49">
        <f t="shared" si="35"/>
        <v>192689.95970408886</v>
      </c>
      <c r="L29" s="49">
        <f t="shared" si="35"/>
        <v>48172.489926022216</v>
      </c>
      <c r="M29" s="49">
        <f t="shared" si="35"/>
        <v>117172.72600545865</v>
      </c>
      <c r="N29" s="49">
        <f t="shared" si="35"/>
        <v>101035.16493883858</v>
      </c>
      <c r="O29" s="256">
        <f t="shared" si="26"/>
        <v>1374347.6491688306</v>
      </c>
      <c r="P29" s="50">
        <f t="shared" si="3"/>
        <v>0.338124720167284</v>
      </c>
      <c r="R29" s="41">
        <v>20000</v>
      </c>
    </row>
    <row r="30" spans="1:16" s="31" customFormat="1" ht="15">
      <c r="A30" s="29" t="s">
        <v>203</v>
      </c>
      <c r="B30" s="260">
        <f>+B31</f>
        <v>52146000</v>
      </c>
      <c r="C30" s="30">
        <f>+C31</f>
        <v>5951376</v>
      </c>
      <c r="D30" s="30">
        <f aca="true" t="shared" si="36" ref="D30:N30">+D31</f>
        <v>8332992</v>
      </c>
      <c r="E30" s="30">
        <f t="shared" si="36"/>
        <v>26123184</v>
      </c>
      <c r="F30" s="30">
        <f t="shared" si="36"/>
        <v>3686976</v>
      </c>
      <c r="G30" s="30">
        <f t="shared" si="36"/>
        <v>2802528</v>
      </c>
      <c r="H30" s="30">
        <f t="shared" si="36"/>
        <v>2536128</v>
      </c>
      <c r="I30" s="30">
        <f t="shared" si="36"/>
        <v>2029968</v>
      </c>
      <c r="J30" s="30">
        <f t="shared" si="36"/>
        <v>1806192</v>
      </c>
      <c r="K30" s="30">
        <f t="shared" si="36"/>
        <v>1635696</v>
      </c>
      <c r="L30" s="30">
        <f t="shared" si="36"/>
        <v>1475856</v>
      </c>
      <c r="M30" s="30">
        <f t="shared" si="36"/>
        <v>801864</v>
      </c>
      <c r="N30" s="30">
        <f t="shared" si="36"/>
        <v>699300</v>
      </c>
      <c r="O30" s="269">
        <f t="shared" si="26"/>
        <v>57882060</v>
      </c>
      <c r="P30" s="39">
        <f t="shared" si="3"/>
        <v>0.11</v>
      </c>
    </row>
    <row r="31" spans="1:16" ht="15">
      <c r="A31" s="163" t="s">
        <v>204</v>
      </c>
      <c r="B31" s="257">
        <f>+O436</f>
        <v>52146000</v>
      </c>
      <c r="C31" s="49">
        <f>+$Q$436*C438</f>
        <v>5951376</v>
      </c>
      <c r="D31" s="49">
        <f aca="true" t="shared" si="37" ref="D31:N31">+$Q$436*D438</f>
        <v>8332992</v>
      </c>
      <c r="E31" s="49">
        <f t="shared" si="37"/>
        <v>26123184</v>
      </c>
      <c r="F31" s="49">
        <f t="shared" si="37"/>
        <v>3686976</v>
      </c>
      <c r="G31" s="49">
        <f t="shared" si="37"/>
        <v>2802528</v>
      </c>
      <c r="H31" s="49">
        <f t="shared" si="37"/>
        <v>2536128</v>
      </c>
      <c r="I31" s="49">
        <f t="shared" si="37"/>
        <v>2029968</v>
      </c>
      <c r="J31" s="49">
        <f t="shared" si="37"/>
        <v>1806192</v>
      </c>
      <c r="K31" s="49">
        <f t="shared" si="37"/>
        <v>1635696</v>
      </c>
      <c r="L31" s="49">
        <f t="shared" si="37"/>
        <v>1475856</v>
      </c>
      <c r="M31" s="49">
        <f t="shared" si="37"/>
        <v>801864</v>
      </c>
      <c r="N31" s="49">
        <f t="shared" si="37"/>
        <v>699300</v>
      </c>
      <c r="O31" s="256">
        <f t="shared" si="26"/>
        <v>57882060</v>
      </c>
      <c r="P31" s="50">
        <f t="shared" si="3"/>
        <v>0.11</v>
      </c>
    </row>
    <row r="32" spans="1:18" s="31" customFormat="1" ht="15">
      <c r="A32" s="29" t="s">
        <v>205</v>
      </c>
      <c r="B32" s="260">
        <f>SUM(B33:B36)</f>
        <v>90980800.30433439</v>
      </c>
      <c r="C32" s="30">
        <f>SUM(C33:C36)</f>
        <v>9393433.011891618</v>
      </c>
      <c r="D32" s="30">
        <f aca="true" t="shared" si="38" ref="D32:O32">SUM(D33:D36)</f>
        <v>11048020.24126767</v>
      </c>
      <c r="E32" s="30">
        <f t="shared" si="38"/>
        <v>18796351.940775532</v>
      </c>
      <c r="F32" s="30">
        <f t="shared" si="38"/>
        <v>7913184.293287132</v>
      </c>
      <c r="G32" s="30">
        <f t="shared" si="38"/>
        <v>7680563.996724663</v>
      </c>
      <c r="H32" s="30">
        <f t="shared" si="38"/>
        <v>8025961.567365019</v>
      </c>
      <c r="I32" s="30">
        <f t="shared" si="38"/>
        <v>7076481.247461689</v>
      </c>
      <c r="J32" s="30">
        <f t="shared" si="38"/>
        <v>7942043.35284267</v>
      </c>
      <c r="K32" s="30">
        <f t="shared" si="38"/>
        <v>7816258.867738717</v>
      </c>
      <c r="L32" s="30">
        <f t="shared" si="38"/>
        <v>7474805.754762344</v>
      </c>
      <c r="M32" s="30">
        <f t="shared" si="38"/>
        <v>3910792.0318470625</v>
      </c>
      <c r="N32" s="30">
        <f t="shared" si="38"/>
        <v>3910792.0318470625</v>
      </c>
      <c r="O32" s="269">
        <f t="shared" si="38"/>
        <v>100988688.33781116</v>
      </c>
      <c r="P32" s="39">
        <f t="shared" si="3"/>
        <v>0.10999999999999986</v>
      </c>
      <c r="R32" s="31">
        <v>30000</v>
      </c>
    </row>
    <row r="33" spans="1:16" ht="15">
      <c r="A33" s="163" t="s">
        <v>206</v>
      </c>
      <c r="B33" s="257">
        <f>+O441</f>
        <v>53111458</v>
      </c>
      <c r="C33" s="49">
        <f>+$Q$441*C447</f>
        <v>5502730.360209632</v>
      </c>
      <c r="D33" s="49">
        <f aca="true" t="shared" si="39" ref="D33:N33">+$Q$441*D447</f>
        <v>6522316.721204796</v>
      </c>
      <c r="E33" s="49">
        <f t="shared" si="39"/>
        <v>13284982.584579669</v>
      </c>
      <c r="F33" s="49">
        <f t="shared" si="39"/>
        <v>4116295.3085338264</v>
      </c>
      <c r="G33" s="49">
        <f t="shared" si="39"/>
        <v>3630537.0422532517</v>
      </c>
      <c r="H33" s="49">
        <f t="shared" si="39"/>
        <v>3926545.9857679764</v>
      </c>
      <c r="I33" s="49">
        <f t="shared" si="39"/>
        <v>3683666.852627689</v>
      </c>
      <c r="J33" s="49">
        <f t="shared" si="39"/>
        <v>3881006.148304173</v>
      </c>
      <c r="K33" s="49">
        <f t="shared" si="39"/>
        <v>4053045.5342785423</v>
      </c>
      <c r="L33" s="49">
        <f t="shared" si="39"/>
        <v>3703906.7803893797</v>
      </c>
      <c r="M33" s="49">
        <f t="shared" si="39"/>
        <v>1841547.7481667919</v>
      </c>
      <c r="N33" s="49">
        <f t="shared" si="39"/>
        <v>1841547.7481667919</v>
      </c>
      <c r="O33" s="256">
        <f>SUM(C33:N33)</f>
        <v>55988128.81448251</v>
      </c>
      <c r="P33" s="50">
        <f t="shared" si="3"/>
        <v>0.05416290425471863</v>
      </c>
    </row>
    <row r="34" spans="1:16" ht="15">
      <c r="A34" s="163" t="s">
        <v>207</v>
      </c>
      <c r="B34" s="257">
        <f aca="true" t="shared" si="40" ref="B34:B36">+O442</f>
        <v>33993600</v>
      </c>
      <c r="C34" s="49">
        <f>+$Q$442*C448</f>
        <v>3606425.5585958026</v>
      </c>
      <c r="D34" s="49">
        <f aca="true" t="shared" si="41" ref="D34:N34">+$Q$442*D448</f>
        <v>4211412.256536141</v>
      </c>
      <c r="E34" s="49">
        <f t="shared" si="41"/>
        <v>5068966.216723416</v>
      </c>
      <c r="F34" s="49">
        <f t="shared" si="41"/>
        <v>3506573.385149339</v>
      </c>
      <c r="G34" s="49">
        <f t="shared" si="41"/>
        <v>3794382.5909656165</v>
      </c>
      <c r="H34" s="49">
        <f t="shared" si="41"/>
        <v>3794382.5909656165</v>
      </c>
      <c r="I34" s="49">
        <f t="shared" si="41"/>
        <v>3113038.348625041</v>
      </c>
      <c r="J34" s="49">
        <f t="shared" si="41"/>
        <v>3858992.82084274</v>
      </c>
      <c r="K34" s="49">
        <f t="shared" si="41"/>
        <v>3459584.127056886</v>
      </c>
      <c r="L34" s="49">
        <f t="shared" si="41"/>
        <v>3512447.0424108957</v>
      </c>
      <c r="M34" s="49">
        <f t="shared" si="41"/>
        <v>1835517.8942364631</v>
      </c>
      <c r="N34" s="49">
        <f t="shared" si="41"/>
        <v>1835517.8942364631</v>
      </c>
      <c r="O34" s="256">
        <f>SUM(C34:N34)</f>
        <v>41597240.726344414</v>
      </c>
      <c r="P34" s="50">
        <f t="shared" si="3"/>
        <v>0.22367859615764185</v>
      </c>
    </row>
    <row r="35" spans="1:16" ht="15">
      <c r="A35" s="163" t="s">
        <v>208</v>
      </c>
      <c r="B35" s="257">
        <f t="shared" si="40"/>
        <v>345313.542</v>
      </c>
      <c r="C35" s="49">
        <f>+$Q$443*C449</f>
        <v>23864.33187831768</v>
      </c>
      <c r="D35" s="49">
        <f aca="true" t="shared" si="42" ref="D35:N35">+$Q$443*D449</f>
        <v>0</v>
      </c>
      <c r="E35" s="49">
        <f t="shared" si="42"/>
        <v>20354.871307976842</v>
      </c>
      <c r="F35" s="49">
        <f t="shared" si="42"/>
        <v>34392.71358934019</v>
      </c>
      <c r="G35" s="49">
        <f t="shared" si="42"/>
        <v>4211.352684409002</v>
      </c>
      <c r="H35" s="49">
        <f t="shared" si="42"/>
        <v>4211.352684409002</v>
      </c>
      <c r="I35" s="49">
        <f t="shared" si="42"/>
        <v>1403.7842281363341</v>
      </c>
      <c r="J35" s="49">
        <f t="shared" si="42"/>
        <v>0</v>
      </c>
      <c r="K35" s="49">
        <f t="shared" si="42"/>
        <v>2807.5684562726683</v>
      </c>
      <c r="L35" s="49">
        <f t="shared" si="42"/>
        <v>7018.92114068167</v>
      </c>
      <c r="M35" s="49">
        <f t="shared" si="42"/>
        <v>1361.8961841338887</v>
      </c>
      <c r="N35" s="49">
        <f t="shared" si="42"/>
        <v>1361.8961841338887</v>
      </c>
      <c r="O35" s="256">
        <f>SUM(C35:N35)</f>
        <v>100988.6883378112</v>
      </c>
      <c r="P35" s="50">
        <f t="shared" si="3"/>
        <v>-0.707544952471597</v>
      </c>
    </row>
    <row r="36" spans="1:16" ht="15">
      <c r="A36" s="163" t="s">
        <v>209</v>
      </c>
      <c r="B36" s="257">
        <f t="shared" si="40"/>
        <v>3530428.762334396</v>
      </c>
      <c r="C36" s="49">
        <f>+$Q$444*C450</f>
        <v>260412.76120786482</v>
      </c>
      <c r="D36" s="49">
        <f aca="true" t="shared" si="43" ref="D36:N36">+$Q$444*D450</f>
        <v>314291.2635267334</v>
      </c>
      <c r="E36" s="49">
        <f t="shared" si="43"/>
        <v>422048.26816447056</v>
      </c>
      <c r="F36" s="49">
        <f t="shared" si="43"/>
        <v>255922.88601462578</v>
      </c>
      <c r="G36" s="49">
        <f t="shared" si="43"/>
        <v>251433.0108213867</v>
      </c>
      <c r="H36" s="49">
        <f t="shared" si="43"/>
        <v>300821.6379470163</v>
      </c>
      <c r="I36" s="49">
        <f t="shared" si="43"/>
        <v>278372.261980821</v>
      </c>
      <c r="J36" s="49">
        <f t="shared" si="43"/>
        <v>202044.3836957572</v>
      </c>
      <c r="K36" s="49">
        <f t="shared" si="43"/>
        <v>300821.6379470163</v>
      </c>
      <c r="L36" s="49">
        <f t="shared" si="43"/>
        <v>251433.0108213867</v>
      </c>
      <c r="M36" s="49">
        <f t="shared" si="43"/>
        <v>232364.4932596733</v>
      </c>
      <c r="N36" s="49">
        <f t="shared" si="43"/>
        <v>232364.4932596733</v>
      </c>
      <c r="O36" s="256">
        <f>SUM(C36:N36)</f>
        <v>3302330.1086464254</v>
      </c>
      <c r="P36" s="50">
        <f t="shared" si="3"/>
        <v>-0.06460933474186488</v>
      </c>
    </row>
    <row r="37" spans="1:16" s="31" customFormat="1" ht="15">
      <c r="A37" s="29" t="s">
        <v>210</v>
      </c>
      <c r="B37" s="260">
        <f>+B38</f>
        <v>35200</v>
      </c>
      <c r="C37" s="30">
        <f>+C38</f>
        <v>4900</v>
      </c>
      <c r="D37" s="30">
        <f aca="true" t="shared" si="44" ref="D37:O37">+D38</f>
        <v>0</v>
      </c>
      <c r="E37" s="30">
        <f t="shared" si="44"/>
        <v>29300</v>
      </c>
      <c r="F37" s="30">
        <f t="shared" si="44"/>
        <v>0</v>
      </c>
      <c r="G37" s="30">
        <f t="shared" si="44"/>
        <v>0</v>
      </c>
      <c r="H37" s="30">
        <f t="shared" si="44"/>
        <v>0</v>
      </c>
      <c r="I37" s="30">
        <f t="shared" si="44"/>
        <v>0</v>
      </c>
      <c r="J37" s="30">
        <f t="shared" si="44"/>
        <v>0</v>
      </c>
      <c r="K37" s="30">
        <f t="shared" si="44"/>
        <v>4900</v>
      </c>
      <c r="L37" s="30">
        <f t="shared" si="44"/>
        <v>0</v>
      </c>
      <c r="M37" s="30">
        <f t="shared" si="44"/>
        <v>0</v>
      </c>
      <c r="N37" s="30">
        <f t="shared" si="44"/>
        <v>0</v>
      </c>
      <c r="O37" s="269">
        <f t="shared" si="44"/>
        <v>39100</v>
      </c>
      <c r="P37" s="39">
        <f t="shared" si="3"/>
        <v>0.11079545454545454</v>
      </c>
    </row>
    <row r="38" spans="1:16" ht="15">
      <c r="A38" s="163" t="s">
        <v>211</v>
      </c>
      <c r="B38" s="257">
        <f>+O452</f>
        <v>35200</v>
      </c>
      <c r="C38" s="49">
        <v>4900</v>
      </c>
      <c r="D38" s="49">
        <v>0</v>
      </c>
      <c r="E38" s="49">
        <v>29300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4900</v>
      </c>
      <c r="L38" s="49">
        <v>0</v>
      </c>
      <c r="M38" s="49">
        <v>0</v>
      </c>
      <c r="N38" s="49">
        <v>0</v>
      </c>
      <c r="O38" s="256">
        <f>+C38+D38+E38+F38+G38+H38+I38+J38+K38+L38+M38+N38</f>
        <v>39100</v>
      </c>
      <c r="P38" s="50">
        <f t="shared" si="3"/>
        <v>0.11079545454545454</v>
      </c>
    </row>
    <row r="39" spans="1:18" s="31" customFormat="1" ht="15">
      <c r="A39" s="29" t="s">
        <v>212</v>
      </c>
      <c r="B39" s="260">
        <f>SUM(B40:B43)</f>
        <v>63612000</v>
      </c>
      <c r="C39" s="30">
        <f>SUM(C40:C43)</f>
        <v>1836272.809280708</v>
      </c>
      <c r="D39" s="30">
        <f aca="true" t="shared" si="45" ref="D39:O39">SUM(D40:D43)</f>
        <v>2740815.527678339</v>
      </c>
      <c r="E39" s="30">
        <f t="shared" si="45"/>
        <v>10961809.29480791</v>
      </c>
      <c r="F39" s="30">
        <f t="shared" si="45"/>
        <v>23307770.034801207</v>
      </c>
      <c r="G39" s="30">
        <f t="shared" si="45"/>
        <v>6879181.573138507</v>
      </c>
      <c r="H39" s="30">
        <f t="shared" si="45"/>
        <v>5380122.755704043</v>
      </c>
      <c r="I39" s="30">
        <f t="shared" si="45"/>
        <v>4984593.294199128</v>
      </c>
      <c r="J39" s="30">
        <f t="shared" si="45"/>
        <v>3425899.7935033897</v>
      </c>
      <c r="K39" s="30">
        <f t="shared" si="45"/>
        <v>5271299.931494674</v>
      </c>
      <c r="L39" s="30">
        <f t="shared" si="45"/>
        <v>2106044.002757703</v>
      </c>
      <c r="M39" s="30">
        <f t="shared" si="45"/>
        <v>1857755.4913171954</v>
      </c>
      <c r="N39" s="30">
        <f t="shared" si="45"/>
        <v>1857755.4913171954</v>
      </c>
      <c r="O39" s="269">
        <f t="shared" si="45"/>
        <v>70609320</v>
      </c>
      <c r="P39" s="39">
        <f t="shared" si="3"/>
        <v>0.11</v>
      </c>
      <c r="R39" s="31">
        <v>20000</v>
      </c>
    </row>
    <row r="40" spans="1:16" ht="15">
      <c r="A40" s="163" t="s">
        <v>213</v>
      </c>
      <c r="B40" s="257">
        <f>+O455</f>
        <v>29921000</v>
      </c>
      <c r="C40" s="49">
        <f>+$Q$455*C460</f>
        <v>892073.6321112262</v>
      </c>
      <c r="D40" s="49">
        <f>+$Q$455*D460</f>
        <v>0</v>
      </c>
      <c r="E40" s="49">
        <f aca="true" t="shared" si="46" ref="E40:N40">+$Q$455*E460</f>
        <v>3122257.7123892917</v>
      </c>
      <c r="F40" s="49">
        <f>+$Q$455*F460</f>
        <v>7582625.872945423</v>
      </c>
      <c r="G40" s="49">
        <f t="shared" si="46"/>
        <v>4014331.3445005175</v>
      </c>
      <c r="H40" s="49">
        <f>+$Q$455*H460</f>
        <v>3122257.7123892917</v>
      </c>
      <c r="I40" s="49">
        <f t="shared" si="46"/>
        <v>3568294.528444905</v>
      </c>
      <c r="J40" s="49">
        <f>+$Q$455*J460</f>
        <v>1338110.4481668393</v>
      </c>
      <c r="K40" s="49">
        <f t="shared" si="46"/>
        <v>2676220.8963336786</v>
      </c>
      <c r="L40" s="49">
        <f t="shared" si="46"/>
        <v>892073.6321112262</v>
      </c>
      <c r="M40" s="49">
        <f t="shared" si="46"/>
        <v>870787.7103038</v>
      </c>
      <c r="N40" s="49">
        <f t="shared" si="46"/>
        <v>870787.7103038</v>
      </c>
      <c r="O40" s="256">
        <f>SUM(C40:N40)</f>
        <v>28949821.199999996</v>
      </c>
      <c r="P40" s="50">
        <f t="shared" si="3"/>
        <v>-0.03245809966244459</v>
      </c>
    </row>
    <row r="41" spans="1:16" ht="15">
      <c r="A41" s="163" t="s">
        <v>214</v>
      </c>
      <c r="B41" s="257">
        <f aca="true" t="shared" si="47" ref="B41:B43">+O456</f>
        <v>21667000</v>
      </c>
      <c r="C41" s="49">
        <f>+$Q$456*C461</f>
        <v>0</v>
      </c>
      <c r="D41" s="49">
        <f aca="true" t="shared" si="48" ref="D41:N41">+$Q$456*D461</f>
        <v>450697.78723404254</v>
      </c>
      <c r="E41" s="49">
        <f t="shared" si="48"/>
        <v>6760466.808510639</v>
      </c>
      <c r="F41" s="49">
        <f t="shared" si="48"/>
        <v>13971631.404255318</v>
      </c>
      <c r="G41" s="49">
        <f t="shared" si="48"/>
        <v>0</v>
      </c>
      <c r="H41" s="49">
        <f t="shared" si="48"/>
        <v>0</v>
      </c>
      <c r="I41" s="49">
        <f t="shared" si="48"/>
        <v>0</v>
      </c>
      <c r="J41" s="49">
        <f t="shared" si="48"/>
        <v>0</v>
      </c>
      <c r="K41" s="49">
        <f t="shared" si="48"/>
        <v>0</v>
      </c>
      <c r="L41" s="49">
        <f t="shared" si="48"/>
        <v>0</v>
      </c>
      <c r="M41" s="49">
        <f t="shared" si="48"/>
        <v>0</v>
      </c>
      <c r="N41" s="49">
        <f t="shared" si="48"/>
        <v>0</v>
      </c>
      <c r="O41" s="256">
        <f aca="true" t="shared" si="49" ref="O41:O48">SUM(C41:N41)</f>
        <v>21182796</v>
      </c>
      <c r="P41" s="50">
        <f t="shared" si="3"/>
        <v>-0.022347533114875157</v>
      </c>
    </row>
    <row r="42" spans="1:16" ht="15">
      <c r="A42" s="163" t="s">
        <v>215</v>
      </c>
      <c r="B42" s="257">
        <f t="shared" si="47"/>
        <v>1722000</v>
      </c>
      <c r="C42" s="49">
        <f>+$Q$457*C462</f>
        <v>0</v>
      </c>
      <c r="D42" s="49">
        <f aca="true" t="shared" si="50" ref="D42:N42">+$Q$457*D462</f>
        <v>1008704.5714285714</v>
      </c>
      <c r="E42" s="49">
        <f t="shared" si="50"/>
        <v>0</v>
      </c>
      <c r="F42" s="49">
        <f t="shared" si="50"/>
        <v>0</v>
      </c>
      <c r="G42" s="49">
        <f t="shared" si="50"/>
        <v>504352.2857142857</v>
      </c>
      <c r="H42" s="49">
        <f t="shared" si="50"/>
        <v>504352.2857142857</v>
      </c>
      <c r="I42" s="49">
        <f t="shared" si="50"/>
        <v>0</v>
      </c>
      <c r="J42" s="49">
        <f t="shared" si="50"/>
        <v>1008704.5714285714</v>
      </c>
      <c r="K42" s="49">
        <f t="shared" si="50"/>
        <v>504352.2857142857</v>
      </c>
      <c r="L42" s="49">
        <f t="shared" si="50"/>
        <v>0</v>
      </c>
      <c r="M42" s="49">
        <f t="shared" si="50"/>
        <v>0</v>
      </c>
      <c r="N42" s="49">
        <f t="shared" si="50"/>
        <v>0</v>
      </c>
      <c r="O42" s="256">
        <f t="shared" si="49"/>
        <v>3530466</v>
      </c>
      <c r="P42" s="50">
        <f t="shared" si="3"/>
        <v>1.050212543554007</v>
      </c>
    </row>
    <row r="43" spans="1:16" ht="15">
      <c r="A43" s="163" t="s">
        <v>216</v>
      </c>
      <c r="B43" s="257">
        <f t="shared" si="47"/>
        <v>10302000</v>
      </c>
      <c r="C43" s="49">
        <f>+$Q$458*C463</f>
        <v>944199.1771694816</v>
      </c>
      <c r="D43" s="49">
        <f aca="true" t="shared" si="51" ref="D43:N43">+$Q$458*D463</f>
        <v>1281413.1690157251</v>
      </c>
      <c r="E43" s="49">
        <f t="shared" si="51"/>
        <v>1079084.773907979</v>
      </c>
      <c r="F43" s="49">
        <f t="shared" si="51"/>
        <v>1753512.757600466</v>
      </c>
      <c r="G43" s="49">
        <f t="shared" si="51"/>
        <v>2360497.9429237046</v>
      </c>
      <c r="H43" s="49">
        <f t="shared" si="51"/>
        <v>1753512.757600466</v>
      </c>
      <c r="I43" s="49">
        <f t="shared" si="51"/>
        <v>1416298.7657542224</v>
      </c>
      <c r="J43" s="49">
        <f t="shared" si="51"/>
        <v>1079084.773907979</v>
      </c>
      <c r="K43" s="49">
        <f t="shared" si="51"/>
        <v>2090726.7494467096</v>
      </c>
      <c r="L43" s="49">
        <f t="shared" si="51"/>
        <v>1213970.3706464765</v>
      </c>
      <c r="M43" s="49">
        <f t="shared" si="51"/>
        <v>986967.7810133955</v>
      </c>
      <c r="N43" s="49">
        <f t="shared" si="51"/>
        <v>986967.7810133955</v>
      </c>
      <c r="O43" s="256">
        <f t="shared" si="49"/>
        <v>16946236.8</v>
      </c>
      <c r="P43" s="50">
        <f t="shared" si="3"/>
        <v>0.6449463016889925</v>
      </c>
    </row>
    <row r="44" spans="1:18" s="31" customFormat="1" ht="15">
      <c r="A44" s="29" t="s">
        <v>217</v>
      </c>
      <c r="B44" s="260">
        <f>SUM(B45:B48)</f>
        <v>167051945.9160257</v>
      </c>
      <c r="C44" s="30">
        <f>SUM(C45:C48)</f>
        <v>7374625.249040784</v>
      </c>
      <c r="D44" s="30">
        <f aca="true" t="shared" si="52" ref="D44:O44">SUM(D45:D48)</f>
        <v>16991928.126020223</v>
      </c>
      <c r="E44" s="30">
        <f t="shared" si="52"/>
        <v>105327515.73705699</v>
      </c>
      <c r="F44" s="30">
        <f t="shared" si="52"/>
        <v>12645973.875595849</v>
      </c>
      <c r="G44" s="30">
        <f t="shared" si="52"/>
        <v>12119723.184190067</v>
      </c>
      <c r="H44" s="30">
        <f t="shared" si="52"/>
        <v>5006353.283677805</v>
      </c>
      <c r="I44" s="30">
        <f t="shared" si="52"/>
        <v>3888968.3097350257</v>
      </c>
      <c r="J44" s="30">
        <f t="shared" si="52"/>
        <v>5781189.898536762</v>
      </c>
      <c r="K44" s="30">
        <f t="shared" si="52"/>
        <v>4853205.1590879895</v>
      </c>
      <c r="L44" s="30">
        <f t="shared" si="52"/>
        <v>4407384.863660738</v>
      </c>
      <c r="M44" s="30">
        <f t="shared" si="52"/>
        <v>3758302.6392609016</v>
      </c>
      <c r="N44" s="30">
        <f t="shared" si="52"/>
        <v>3272489.6409254284</v>
      </c>
      <c r="O44" s="269">
        <f t="shared" si="52"/>
        <v>185427659.9667886</v>
      </c>
      <c r="P44" s="39">
        <f t="shared" si="3"/>
        <v>0.11000000000000039</v>
      </c>
      <c r="R44" s="31">
        <v>30000</v>
      </c>
    </row>
    <row r="45" spans="1:16" s="31" customFormat="1" ht="15">
      <c r="A45" s="163" t="s">
        <v>218</v>
      </c>
      <c r="B45" s="257">
        <f>+O466</f>
        <v>61784.25931034483</v>
      </c>
      <c r="C45" s="49">
        <f>+$Q$466*C471</f>
        <v>18007.271952752035</v>
      </c>
      <c r="D45" s="49">
        <f aca="true" t="shared" si="53" ref="D45:N45">+$Q$466*D471</f>
        <v>0</v>
      </c>
      <c r="E45" s="49">
        <f t="shared" si="53"/>
        <v>0</v>
      </c>
      <c r="F45" s="49">
        <f t="shared" si="53"/>
        <v>0</v>
      </c>
      <c r="G45" s="49">
        <f t="shared" si="53"/>
        <v>108043.63171651222</v>
      </c>
      <c r="H45" s="49">
        <f t="shared" si="53"/>
        <v>0</v>
      </c>
      <c r="I45" s="49">
        <f t="shared" si="53"/>
        <v>0</v>
      </c>
      <c r="J45" s="49">
        <f t="shared" si="53"/>
        <v>0</v>
      </c>
      <c r="K45" s="49">
        <f t="shared" si="53"/>
        <v>0</v>
      </c>
      <c r="L45" s="49">
        <f t="shared" si="53"/>
        <v>0</v>
      </c>
      <c r="M45" s="49">
        <f t="shared" si="53"/>
        <v>29688.37814876214</v>
      </c>
      <c r="N45" s="49">
        <f t="shared" si="53"/>
        <v>29688.37814876214</v>
      </c>
      <c r="O45" s="256">
        <f t="shared" si="49"/>
        <v>185427.65996678852</v>
      </c>
      <c r="P45" s="50">
        <f t="shared" si="3"/>
        <v>2.001211992125339</v>
      </c>
    </row>
    <row r="46" spans="1:16" s="31" customFormat="1" ht="15">
      <c r="A46" s="163" t="s">
        <v>219</v>
      </c>
      <c r="B46" s="257">
        <f aca="true" t="shared" si="54" ref="B46:B48">+O467</f>
        <v>16192169.044988267</v>
      </c>
      <c r="C46" s="49">
        <f>+$Q$467*C472</f>
        <v>1407513.1694836214</v>
      </c>
      <c r="D46" s="49">
        <f aca="true" t="shared" si="55" ref="D46:N46">+$Q$467*D472</f>
        <v>1984788.1560460285</v>
      </c>
      <c r="E46" s="49">
        <f t="shared" si="55"/>
        <v>4027952.4343287046</v>
      </c>
      <c r="F46" s="49">
        <f t="shared" si="55"/>
        <v>2036678.0424786045</v>
      </c>
      <c r="G46" s="49">
        <f t="shared" si="55"/>
        <v>1595614.0078017092</v>
      </c>
      <c r="H46" s="49">
        <f t="shared" si="55"/>
        <v>1595614.0078017092</v>
      </c>
      <c r="I46" s="49">
        <f t="shared" si="55"/>
        <v>1628045.186822069</v>
      </c>
      <c r="J46" s="49">
        <f t="shared" si="55"/>
        <v>1861549.6757686606</v>
      </c>
      <c r="K46" s="49">
        <f t="shared" si="55"/>
        <v>1718852.488079077</v>
      </c>
      <c r="L46" s="49">
        <f t="shared" si="55"/>
        <v>1472375.5275243414</v>
      </c>
      <c r="M46" s="49">
        <f t="shared" si="55"/>
        <v>1363061.7321917985</v>
      </c>
      <c r="N46" s="49">
        <f t="shared" si="55"/>
        <v>1188419.4477547244</v>
      </c>
      <c r="O46" s="256">
        <f t="shared" si="49"/>
        <v>21880463.87608105</v>
      </c>
      <c r="P46" s="50">
        <f t="shared" si="3"/>
        <v>0.35129912584833095</v>
      </c>
    </row>
    <row r="47" spans="1:16" s="31" customFormat="1" ht="15">
      <c r="A47" s="163" t="s">
        <v>220</v>
      </c>
      <c r="B47" s="257">
        <f t="shared" si="54"/>
        <v>13482143.514311982</v>
      </c>
      <c r="C47" s="49">
        <f>+$Q$468*C473</f>
        <v>686578.4195010079</v>
      </c>
      <c r="D47" s="49">
        <f aca="true" t="shared" si="56" ref="D47:N47">+$Q$468*D473</f>
        <v>1225278.4101864141</v>
      </c>
      <c r="E47" s="49">
        <f t="shared" si="56"/>
        <v>1941520.5383248373</v>
      </c>
      <c r="F47" s="49">
        <f t="shared" si="56"/>
        <v>1586876.377790278</v>
      </c>
      <c r="G47" s="49">
        <f t="shared" si="56"/>
        <v>1286630.3535700296</v>
      </c>
      <c r="H47" s="49">
        <f t="shared" si="56"/>
        <v>832432.3222078246</v>
      </c>
      <c r="I47" s="49">
        <f t="shared" si="56"/>
        <v>1062788.1842378422</v>
      </c>
      <c r="J47" s="49">
        <f t="shared" si="56"/>
        <v>982775.3915036862</v>
      </c>
      <c r="K47" s="49">
        <f t="shared" si="56"/>
        <v>946597.9901684409</v>
      </c>
      <c r="L47" s="49">
        <f t="shared" si="56"/>
        <v>589489.1891536218</v>
      </c>
      <c r="M47" s="49">
        <f t="shared" si="56"/>
        <v>368704.58410941303</v>
      </c>
      <c r="N47" s="49">
        <f t="shared" si="56"/>
        <v>357698.4771210723</v>
      </c>
      <c r="O47" s="256">
        <f t="shared" si="49"/>
        <v>11867370.237874467</v>
      </c>
      <c r="P47" s="50">
        <f t="shared" si="3"/>
        <v>-0.11977125704998996</v>
      </c>
    </row>
    <row r="48" spans="1:16" s="31" customFormat="1" ht="15">
      <c r="A48" s="164" t="s">
        <v>292</v>
      </c>
      <c r="B48" s="257">
        <f t="shared" si="54"/>
        <v>137315849.09741512</v>
      </c>
      <c r="C48" s="49">
        <f>+$Q$469*C474</f>
        <v>5262526.388103403</v>
      </c>
      <c r="D48" s="49">
        <f aca="true" t="shared" si="57" ref="D48:N48">+$Q$469*D474</f>
        <v>13781861.559787782</v>
      </c>
      <c r="E48" s="49">
        <f t="shared" si="57"/>
        <v>99358042.76440345</v>
      </c>
      <c r="F48" s="49">
        <f t="shared" si="57"/>
        <v>9022419.455326967</v>
      </c>
      <c r="G48" s="49">
        <f t="shared" si="57"/>
        <v>9129435.191101816</v>
      </c>
      <c r="H48" s="49">
        <f t="shared" si="57"/>
        <v>2578306.953668271</v>
      </c>
      <c r="I48" s="49">
        <f t="shared" si="57"/>
        <v>1198134.9386751144</v>
      </c>
      <c r="J48" s="49">
        <f t="shared" si="57"/>
        <v>2936864.831264415</v>
      </c>
      <c r="K48" s="49">
        <f t="shared" si="57"/>
        <v>2187754.6808404713</v>
      </c>
      <c r="L48" s="49">
        <f t="shared" si="57"/>
        <v>2345520.1469827746</v>
      </c>
      <c r="M48" s="49">
        <f t="shared" si="57"/>
        <v>1996847.944810928</v>
      </c>
      <c r="N48" s="49">
        <f t="shared" si="57"/>
        <v>1696683.3379008695</v>
      </c>
      <c r="O48" s="256">
        <f t="shared" si="49"/>
        <v>151494398.19286627</v>
      </c>
      <c r="P48" s="50">
        <f t="shared" si="3"/>
        <v>0.10325500798813506</v>
      </c>
    </row>
    <row r="49" spans="1:16" s="31" customFormat="1" ht="15">
      <c r="A49" s="29" t="s">
        <v>399</v>
      </c>
      <c r="B49" s="260">
        <f>+B50</f>
        <v>0</v>
      </c>
      <c r="C49" s="162">
        <f>+C50</f>
        <v>0</v>
      </c>
      <c r="D49" s="162">
        <f aca="true" t="shared" si="58" ref="D49:N49">+D50</f>
        <v>0</v>
      </c>
      <c r="E49" s="162">
        <f t="shared" si="58"/>
        <v>0</v>
      </c>
      <c r="F49" s="162">
        <f t="shared" si="58"/>
        <v>0</v>
      </c>
      <c r="G49" s="162">
        <f t="shared" si="58"/>
        <v>0</v>
      </c>
      <c r="H49" s="162">
        <f t="shared" si="58"/>
        <v>0</v>
      </c>
      <c r="I49" s="162">
        <f t="shared" si="58"/>
        <v>0</v>
      </c>
      <c r="J49" s="162">
        <f t="shared" si="58"/>
        <v>0</v>
      </c>
      <c r="K49" s="162">
        <f t="shared" si="58"/>
        <v>0</v>
      </c>
      <c r="L49" s="162">
        <f t="shared" si="58"/>
        <v>0</v>
      </c>
      <c r="M49" s="162">
        <f t="shared" si="58"/>
        <v>0</v>
      </c>
      <c r="N49" s="162">
        <f t="shared" si="58"/>
        <v>0</v>
      </c>
      <c r="O49" s="256">
        <f>+O50</f>
        <v>0</v>
      </c>
      <c r="P49" s="39"/>
    </row>
    <row r="50" spans="1:16" s="31" customFormat="1" ht="15">
      <c r="A50" s="163" t="s">
        <v>400</v>
      </c>
      <c r="B50" s="257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256">
        <f>+SUM(C50:N50)</f>
        <v>0</v>
      </c>
      <c r="P50" s="50"/>
    </row>
    <row r="51" spans="1:16" s="31" customFormat="1" ht="15">
      <c r="A51" s="29" t="s">
        <v>221</v>
      </c>
      <c r="B51" s="260">
        <f>SUM(B52:B55)</f>
        <v>37313612</v>
      </c>
      <c r="C51" s="30">
        <f>SUM(C52:C55)</f>
        <v>2211.69</v>
      </c>
      <c r="D51" s="30">
        <f aca="true" t="shared" si="59" ref="D51:O51">SUM(D52:D55)</f>
        <v>8588.89</v>
      </c>
      <c r="E51" s="30">
        <f t="shared" si="59"/>
        <v>15019605.61</v>
      </c>
      <c r="F51" s="30">
        <f t="shared" si="59"/>
        <v>9003860.82</v>
      </c>
      <c r="G51" s="30">
        <f t="shared" si="59"/>
        <v>2902999.88</v>
      </c>
      <c r="H51" s="30">
        <f t="shared" si="59"/>
        <v>8180829.66</v>
      </c>
      <c r="I51" s="30">
        <f t="shared" si="59"/>
        <v>3176360.27</v>
      </c>
      <c r="J51" s="30">
        <f t="shared" si="59"/>
        <v>3927469.2399999998</v>
      </c>
      <c r="K51" s="30">
        <f t="shared" si="59"/>
        <v>6737806.05</v>
      </c>
      <c r="L51" s="30">
        <f t="shared" si="59"/>
        <v>3429051.4699999997</v>
      </c>
      <c r="M51" s="30">
        <f t="shared" si="59"/>
        <v>53499.99999999999</v>
      </c>
      <c r="N51" s="30">
        <f t="shared" si="59"/>
        <v>53499.99999999999</v>
      </c>
      <c r="O51" s="269">
        <f t="shared" si="59"/>
        <v>52495783.58</v>
      </c>
      <c r="P51" s="39">
        <f t="shared" si="3"/>
        <v>0.40688024466781714</v>
      </c>
    </row>
    <row r="52" spans="1:16" s="31" customFormat="1" ht="15">
      <c r="A52" s="163" t="s">
        <v>222</v>
      </c>
      <c r="B52" s="271">
        <f>+O476</f>
        <v>22696994</v>
      </c>
      <c r="C52" s="49">
        <f>+$Q$476*C478</f>
        <v>2211.69</v>
      </c>
      <c r="D52" s="49">
        <f aca="true" t="shared" si="60" ref="D52:N52">+$Q$476*D478</f>
        <v>8588.89</v>
      </c>
      <c r="E52" s="49">
        <f t="shared" si="60"/>
        <v>19605.609999999997</v>
      </c>
      <c r="F52" s="49">
        <f t="shared" si="60"/>
        <v>4003860.82</v>
      </c>
      <c r="G52" s="49">
        <f t="shared" si="60"/>
        <v>2902999.88</v>
      </c>
      <c r="H52" s="49">
        <f t="shared" si="60"/>
        <v>3180829.66</v>
      </c>
      <c r="I52" s="49">
        <f t="shared" si="60"/>
        <v>3176360.27</v>
      </c>
      <c r="J52" s="49">
        <f t="shared" si="60"/>
        <v>3927469.2399999998</v>
      </c>
      <c r="K52" s="49">
        <f t="shared" si="60"/>
        <v>3527806.05</v>
      </c>
      <c r="L52" s="49">
        <f t="shared" si="60"/>
        <v>3429051.4699999997</v>
      </c>
      <c r="M52" s="49">
        <f t="shared" si="60"/>
        <v>53499.99999999999</v>
      </c>
      <c r="N52" s="49">
        <f t="shared" si="60"/>
        <v>53499.99999999999</v>
      </c>
      <c r="O52" s="256">
        <f aca="true" t="shared" si="61" ref="O52">SUM(C52:N52)</f>
        <v>24285783.58</v>
      </c>
      <c r="P52" s="50">
        <f t="shared" si="3"/>
        <v>0.06999999999999992</v>
      </c>
    </row>
    <row r="53" spans="1:16" s="31" customFormat="1" ht="15">
      <c r="A53" s="163" t="s">
        <v>293</v>
      </c>
      <c r="B53" s="271">
        <v>3000000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49">
        <f>(+B53*B3)+B53</f>
        <v>3210000</v>
      </c>
      <c r="L53" s="51">
        <v>0</v>
      </c>
      <c r="M53" s="51">
        <v>0</v>
      </c>
      <c r="N53" s="51">
        <v>0</v>
      </c>
      <c r="O53" s="256">
        <f aca="true" t="shared" si="62" ref="O53:O55">SUM(C53:N53)</f>
        <v>3210000</v>
      </c>
      <c r="P53" s="50">
        <f t="shared" si="3"/>
        <v>0.07</v>
      </c>
    </row>
    <row r="54" spans="1:16" s="31" customFormat="1" ht="15">
      <c r="A54" s="163" t="s">
        <v>223</v>
      </c>
      <c r="B54" s="271">
        <v>8985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256">
        <f t="shared" si="62"/>
        <v>0</v>
      </c>
      <c r="P54" s="50">
        <v>0</v>
      </c>
    </row>
    <row r="55" spans="1:16" s="31" customFormat="1" ht="15" thickBot="1">
      <c r="A55" s="165" t="s">
        <v>224</v>
      </c>
      <c r="B55" s="272">
        <v>11607633</v>
      </c>
      <c r="C55" s="52">
        <v>0</v>
      </c>
      <c r="D55" s="52">
        <v>0</v>
      </c>
      <c r="E55" s="52">
        <v>15000000</v>
      </c>
      <c r="F55" s="52">
        <v>5000000</v>
      </c>
      <c r="G55" s="52">
        <v>0</v>
      </c>
      <c r="H55" s="52">
        <v>5000000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273">
        <f t="shared" si="62"/>
        <v>25000000</v>
      </c>
      <c r="P55" s="276">
        <f t="shared" si="3"/>
        <v>1.1537552057340201</v>
      </c>
    </row>
    <row r="56" spans="1:15" s="31" customFormat="1" ht="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2:4" s="31" customFormat="1" ht="15">
      <c r="B57" s="56"/>
      <c r="C57" s="56"/>
      <c r="D57" s="47"/>
    </row>
    <row r="58" spans="1:3" s="31" customFormat="1" ht="15" thickBot="1">
      <c r="A58" s="31" t="s">
        <v>294</v>
      </c>
      <c r="B58" s="78">
        <v>0.07</v>
      </c>
      <c r="C58" s="56"/>
    </row>
    <row r="59" spans="1:16" s="31" customFormat="1" ht="16" thickBot="1">
      <c r="A59" s="45"/>
      <c r="B59" s="71" t="s">
        <v>602</v>
      </c>
      <c r="C59" s="71" t="s">
        <v>170</v>
      </c>
      <c r="D59" s="71" t="s">
        <v>171</v>
      </c>
      <c r="E59" s="71" t="s">
        <v>172</v>
      </c>
      <c r="F59" s="71" t="s">
        <v>173</v>
      </c>
      <c r="G59" s="71" t="s">
        <v>174</v>
      </c>
      <c r="H59" s="71" t="s">
        <v>175</v>
      </c>
      <c r="I59" s="71" t="s">
        <v>176</v>
      </c>
      <c r="J59" s="71" t="s">
        <v>177</v>
      </c>
      <c r="K59" s="71" t="s">
        <v>178</v>
      </c>
      <c r="L59" s="71" t="s">
        <v>179</v>
      </c>
      <c r="M59" s="71" t="s">
        <v>180</v>
      </c>
      <c r="N59" s="71" t="s">
        <v>181</v>
      </c>
      <c r="O59" s="383" t="s">
        <v>603</v>
      </c>
      <c r="P59" s="71" t="s">
        <v>604</v>
      </c>
    </row>
    <row r="60" spans="1:19" s="31" customFormat="1" ht="15.5">
      <c r="A60" s="29" t="s">
        <v>117</v>
      </c>
      <c r="B60" s="255">
        <f aca="true" t="shared" si="63" ref="B60:O60">+B61+B377</f>
        <v>2027273802</v>
      </c>
      <c r="C60" s="57">
        <f t="shared" si="63"/>
        <v>203372550</v>
      </c>
      <c r="D60" s="57">
        <f t="shared" si="63"/>
        <v>203835950</v>
      </c>
      <c r="E60" s="57">
        <f t="shared" si="63"/>
        <v>256089760.15156913</v>
      </c>
      <c r="F60" s="57">
        <f t="shared" si="63"/>
        <v>209761450</v>
      </c>
      <c r="G60" s="57">
        <f t="shared" si="63"/>
        <v>191908150</v>
      </c>
      <c r="H60" s="57">
        <f t="shared" si="63"/>
        <v>211042860.1515691</v>
      </c>
      <c r="I60" s="57">
        <f t="shared" si="63"/>
        <v>193958350</v>
      </c>
      <c r="J60" s="57">
        <f t="shared" si="63"/>
        <v>199222250</v>
      </c>
      <c r="K60" s="57">
        <f t="shared" si="63"/>
        <v>228811960.15156913</v>
      </c>
      <c r="L60" s="57">
        <f t="shared" si="63"/>
        <v>178091450</v>
      </c>
      <c r="M60" s="57">
        <f t="shared" si="63"/>
        <v>171981950</v>
      </c>
      <c r="N60" s="57">
        <f t="shared" si="63"/>
        <v>202768449.99999997</v>
      </c>
      <c r="O60" s="384">
        <f t="shared" si="63"/>
        <v>2450845130.454707</v>
      </c>
      <c r="P60" s="39">
        <f aca="true" t="shared" si="64" ref="P60:P86">+(O60-B60)/B60</f>
        <v>0.20893641896661136</v>
      </c>
      <c r="S60" s="47"/>
    </row>
    <row r="61" spans="1:17" s="31" customFormat="1" ht="15">
      <c r="A61" s="29" t="s">
        <v>118</v>
      </c>
      <c r="B61" s="255">
        <f aca="true" t="shared" si="65" ref="B61:O61">+B62+B81+B97+B104+B120+B140+B153+B228+B230+B266+B318+B324+B333</f>
        <v>2011901802</v>
      </c>
      <c r="C61" s="57">
        <f t="shared" si="65"/>
        <v>202007550</v>
      </c>
      <c r="D61" s="57">
        <f t="shared" si="65"/>
        <v>202470950</v>
      </c>
      <c r="E61" s="57">
        <f t="shared" si="65"/>
        <v>254724760.15156913</v>
      </c>
      <c r="F61" s="57">
        <f t="shared" si="65"/>
        <v>208396450</v>
      </c>
      <c r="G61" s="57">
        <f t="shared" si="65"/>
        <v>190543150</v>
      </c>
      <c r="H61" s="57">
        <f t="shared" si="65"/>
        <v>209677860.1515691</v>
      </c>
      <c r="I61" s="57">
        <f t="shared" si="65"/>
        <v>192593350</v>
      </c>
      <c r="J61" s="57">
        <f t="shared" si="65"/>
        <v>197857250</v>
      </c>
      <c r="K61" s="57">
        <f t="shared" si="65"/>
        <v>227446960.15156913</v>
      </c>
      <c r="L61" s="57">
        <f t="shared" si="65"/>
        <v>176726450</v>
      </c>
      <c r="M61" s="57">
        <f t="shared" si="65"/>
        <v>170616950</v>
      </c>
      <c r="N61" s="57">
        <f t="shared" si="65"/>
        <v>201403449.99999997</v>
      </c>
      <c r="O61" s="255">
        <f t="shared" si="65"/>
        <v>2434465130.454707</v>
      </c>
      <c r="P61" s="39">
        <f t="shared" si="64"/>
        <v>0.21003178586283067</v>
      </c>
      <c r="Q61" s="47">
        <f>+O60-O62</f>
        <v>1093585130.4547071</v>
      </c>
    </row>
    <row r="62" spans="1:17" s="31" customFormat="1" ht="15">
      <c r="A62" s="29" t="s">
        <v>132</v>
      </c>
      <c r="B62" s="255">
        <f aca="true" t="shared" si="66" ref="B62:O62">SUM(B63:B80)</f>
        <v>1164134513</v>
      </c>
      <c r="C62" s="57">
        <f t="shared" si="66"/>
        <v>106948000</v>
      </c>
      <c r="D62" s="57">
        <f t="shared" si="66"/>
        <v>111348000</v>
      </c>
      <c r="E62" s="57">
        <f t="shared" si="66"/>
        <v>107348000</v>
      </c>
      <c r="F62" s="57">
        <f t="shared" si="66"/>
        <v>108348000</v>
      </c>
      <c r="G62" s="57">
        <f t="shared" si="66"/>
        <v>124116000</v>
      </c>
      <c r="H62" s="57">
        <f t="shared" si="66"/>
        <v>118956000</v>
      </c>
      <c r="I62" s="57">
        <f t="shared" si="66"/>
        <v>107848000</v>
      </c>
      <c r="J62" s="57">
        <f t="shared" si="66"/>
        <v>105348000</v>
      </c>
      <c r="K62" s="57">
        <f t="shared" si="66"/>
        <v>105848000</v>
      </c>
      <c r="L62" s="57">
        <f t="shared" si="66"/>
        <v>105348000</v>
      </c>
      <c r="M62" s="57">
        <f t="shared" si="66"/>
        <v>109848000</v>
      </c>
      <c r="N62" s="57">
        <f t="shared" si="66"/>
        <v>145956000</v>
      </c>
      <c r="O62" s="255">
        <f t="shared" si="66"/>
        <v>1357260000</v>
      </c>
      <c r="P62" s="39">
        <f t="shared" si="64"/>
        <v>0.16589619570878575</v>
      </c>
      <c r="Q62" s="56"/>
    </row>
    <row r="63" spans="1:17" s="31" customFormat="1" ht="15">
      <c r="A63" s="163" t="s">
        <v>97</v>
      </c>
      <c r="B63" s="257">
        <v>669676030</v>
      </c>
      <c r="C63" s="58">
        <f>+'[1]PROYECC NOMINA 7% PUBLICA'!$E$55</f>
        <v>67249000</v>
      </c>
      <c r="D63" s="58">
        <f>+'[1]PROYECC NOMINA 7% PUBLICA'!$E$55</f>
        <v>67249000</v>
      </c>
      <c r="E63" s="58">
        <f>+'[1]PROYECC NOMINA 7% PUBLICA'!$E$55</f>
        <v>67249000</v>
      </c>
      <c r="F63" s="58">
        <f>+'[1]PROYECC NOMINA 7% PUBLICA'!$E$55</f>
        <v>67249000</v>
      </c>
      <c r="G63" s="58">
        <f>+'[1]PROYECC NOMINA 7% PUBLICA'!$E$55</f>
        <v>67249000</v>
      </c>
      <c r="H63" s="58">
        <f>+'[1]PROYECC NOMINA 7% PUBLICA'!$E$55</f>
        <v>67249000</v>
      </c>
      <c r="I63" s="58">
        <f>+'[1]PROYECC NOMINA 7% PUBLICA'!$E$55</f>
        <v>67249000</v>
      </c>
      <c r="J63" s="58">
        <f>+'[1]PROYECC NOMINA 7% PUBLICA'!$E$55</f>
        <v>67249000</v>
      </c>
      <c r="K63" s="58">
        <f>+'[1]PROYECC NOMINA 7% PUBLICA'!$E$55</f>
        <v>67249000</v>
      </c>
      <c r="L63" s="58">
        <f>+'[1]PROYECC NOMINA 7% PUBLICA'!$E$55</f>
        <v>67249000</v>
      </c>
      <c r="M63" s="58">
        <f>+'[1]PROYECC NOMINA 7% PUBLICA'!$E$55</f>
        <v>67249000</v>
      </c>
      <c r="N63" s="58">
        <f>+'[1]PROYECC NOMINA 7% PUBLICA'!$E$55</f>
        <v>67249000</v>
      </c>
      <c r="O63" s="256">
        <f>SUM(C63:N63)</f>
        <v>806988000</v>
      </c>
      <c r="P63" s="50">
        <f t="shared" si="64"/>
        <v>0.2050423844496868</v>
      </c>
      <c r="Q63" s="47"/>
    </row>
    <row r="64" spans="1:16" s="31" customFormat="1" ht="15">
      <c r="A64" s="163" t="s">
        <v>99</v>
      </c>
      <c r="B64" s="257">
        <v>15596980</v>
      </c>
      <c r="C64" s="58">
        <f>+'[1]PROYECC NOMINA 7% PUBLICA'!$D$55</f>
        <v>1494000</v>
      </c>
      <c r="D64" s="58">
        <f>+'[1]PROYECC NOMINA 7% PUBLICA'!$D$55</f>
        <v>1494000</v>
      </c>
      <c r="E64" s="58">
        <f>+'[1]PROYECC NOMINA 7% PUBLICA'!$D$55</f>
        <v>1494000</v>
      </c>
      <c r="F64" s="58">
        <f>+'[1]PROYECC NOMINA 7% PUBLICA'!$D$55</f>
        <v>1494000</v>
      </c>
      <c r="G64" s="58">
        <f>+'[1]PROYECC NOMINA 7% PUBLICA'!$D$55</f>
        <v>1494000</v>
      </c>
      <c r="H64" s="58">
        <f>+'[1]PROYECC NOMINA 7% PUBLICA'!$D$55</f>
        <v>1494000</v>
      </c>
      <c r="I64" s="58">
        <f>+'[1]PROYECC NOMINA 7% PUBLICA'!$D$55</f>
        <v>1494000</v>
      </c>
      <c r="J64" s="58">
        <f>+'[1]PROYECC NOMINA 7% PUBLICA'!$D$55</f>
        <v>1494000</v>
      </c>
      <c r="K64" s="58">
        <f>+'[1]PROYECC NOMINA 7% PUBLICA'!$D$55</f>
        <v>1494000</v>
      </c>
      <c r="L64" s="58">
        <f>+'[1]PROYECC NOMINA 7% PUBLICA'!$D$55</f>
        <v>1494000</v>
      </c>
      <c r="M64" s="58">
        <f>+'[1]PROYECC NOMINA 7% PUBLICA'!$D$55</f>
        <v>1494000</v>
      </c>
      <c r="N64" s="58">
        <f>+'[1]PROYECC NOMINA 7% PUBLICA'!$D$55</f>
        <v>1494000</v>
      </c>
      <c r="O64" s="256">
        <f aca="true" t="shared" si="67" ref="O64:O80">SUM(C64:N64)</f>
        <v>17928000</v>
      </c>
      <c r="P64" s="50">
        <f t="shared" si="64"/>
        <v>0.14945329159875823</v>
      </c>
    </row>
    <row r="65" spans="1:16" s="31" customFormat="1" ht="15">
      <c r="A65" s="163" t="s">
        <v>100</v>
      </c>
      <c r="B65" s="257">
        <v>58781261</v>
      </c>
      <c r="C65" s="58">
        <f>+'[1]PROYECC NOMINA 7% PUBLICA'!$H$55</f>
        <v>5732000</v>
      </c>
      <c r="D65" s="58">
        <f>+'[1]PROYECC NOMINA 7% PUBLICA'!$H$55</f>
        <v>5732000</v>
      </c>
      <c r="E65" s="58">
        <f>+'[1]PROYECC NOMINA 7% PUBLICA'!$H$55</f>
        <v>5732000</v>
      </c>
      <c r="F65" s="58">
        <f>+'[1]PROYECC NOMINA 7% PUBLICA'!$H$55</f>
        <v>5732000</v>
      </c>
      <c r="G65" s="58">
        <f>+'[1]PROYECC NOMINA 7% PUBLICA'!$H$55</f>
        <v>5732000</v>
      </c>
      <c r="H65" s="58">
        <f>+'[1]PROYECC NOMINA 7% PUBLICA'!$H$55</f>
        <v>5732000</v>
      </c>
      <c r="I65" s="58">
        <f>+'[1]PROYECC NOMINA 7% PUBLICA'!$H$55</f>
        <v>5732000</v>
      </c>
      <c r="J65" s="58">
        <f>+'[1]PROYECC NOMINA 7% PUBLICA'!$H$55</f>
        <v>5732000</v>
      </c>
      <c r="K65" s="58">
        <f>+'[1]PROYECC NOMINA 7% PUBLICA'!$H$55</f>
        <v>5732000</v>
      </c>
      <c r="L65" s="58">
        <f>+'[1]PROYECC NOMINA 7% PUBLICA'!$H$55</f>
        <v>5732000</v>
      </c>
      <c r="M65" s="58">
        <f>+'[1]PROYECC NOMINA 7% PUBLICA'!$H$55</f>
        <v>5732000</v>
      </c>
      <c r="N65" s="58">
        <f>+'[1]PROYECC NOMINA 7% PUBLICA'!$H$55</f>
        <v>5732000</v>
      </c>
      <c r="O65" s="256">
        <f t="shared" si="67"/>
        <v>68784000</v>
      </c>
      <c r="P65" s="50">
        <f t="shared" si="64"/>
        <v>0.17016884003220006</v>
      </c>
    </row>
    <row r="66" spans="1:16" s="31" customFormat="1" ht="15">
      <c r="A66" s="163" t="s">
        <v>101</v>
      </c>
      <c r="B66" s="257">
        <v>6610693</v>
      </c>
      <c r="C66" s="58">
        <f>+'[1]PROYECC NOMINA 7% PUBLICA'!$I$55</f>
        <v>688000</v>
      </c>
      <c r="D66" s="58">
        <f>+'[1]PROYECC NOMINA 7% PUBLICA'!$I$55</f>
        <v>688000</v>
      </c>
      <c r="E66" s="58">
        <f>+'[1]PROYECC NOMINA 7% PUBLICA'!$I$55</f>
        <v>688000</v>
      </c>
      <c r="F66" s="58">
        <f>+'[1]PROYECC NOMINA 7% PUBLICA'!$I$55</f>
        <v>688000</v>
      </c>
      <c r="G66" s="58">
        <f>+'[1]PROYECC NOMINA 7% PUBLICA'!$I$55</f>
        <v>688000</v>
      </c>
      <c r="H66" s="58">
        <f>+'[1]PROYECC NOMINA 7% PUBLICA'!$I$55</f>
        <v>688000</v>
      </c>
      <c r="I66" s="58">
        <f>+'[1]PROYECC NOMINA 7% PUBLICA'!$I$55</f>
        <v>688000</v>
      </c>
      <c r="J66" s="58">
        <f>+'[1]PROYECC NOMINA 7% PUBLICA'!$I$55</f>
        <v>688000</v>
      </c>
      <c r="K66" s="58">
        <f>+'[1]PROYECC NOMINA 7% PUBLICA'!$I$55</f>
        <v>688000</v>
      </c>
      <c r="L66" s="58">
        <f>+'[1]PROYECC NOMINA 7% PUBLICA'!$I$55</f>
        <v>688000</v>
      </c>
      <c r="M66" s="58">
        <f>+'[1]PROYECC NOMINA 7% PUBLICA'!$I$55</f>
        <v>688000</v>
      </c>
      <c r="N66" s="58">
        <f>+'[1]PROYECC NOMINA 7% PUBLICA'!$I$55</f>
        <v>688000</v>
      </c>
      <c r="O66" s="256">
        <f t="shared" si="67"/>
        <v>8256000</v>
      </c>
      <c r="P66" s="50">
        <f t="shared" si="64"/>
        <v>0.2488857068389048</v>
      </c>
    </row>
    <row r="67" spans="1:16" s="31" customFormat="1" ht="15">
      <c r="A67" s="163" t="s">
        <v>102</v>
      </c>
      <c r="B67" s="257">
        <v>58797775</v>
      </c>
      <c r="C67" s="58">
        <f>+'[1]PROYECC NOMINA 7% PUBLICA'!$J$55</f>
        <v>5732000</v>
      </c>
      <c r="D67" s="58">
        <f>+'[1]PROYECC NOMINA 7% PUBLICA'!$J$55</f>
        <v>5732000</v>
      </c>
      <c r="E67" s="58">
        <f>+'[1]PROYECC NOMINA 7% PUBLICA'!$J$55</f>
        <v>5732000</v>
      </c>
      <c r="F67" s="58">
        <f>+'[1]PROYECC NOMINA 7% PUBLICA'!$J$55</f>
        <v>5732000</v>
      </c>
      <c r="G67" s="58">
        <f>+'[1]PROYECC NOMINA 7% PUBLICA'!$J$55</f>
        <v>5732000</v>
      </c>
      <c r="H67" s="58">
        <f>+'[1]PROYECC NOMINA 7% PUBLICA'!$J$55</f>
        <v>5732000</v>
      </c>
      <c r="I67" s="58">
        <f>+'[1]PROYECC NOMINA 7% PUBLICA'!$J$55</f>
        <v>5732000</v>
      </c>
      <c r="J67" s="58">
        <f>+'[1]PROYECC NOMINA 7% PUBLICA'!$J$55</f>
        <v>5732000</v>
      </c>
      <c r="K67" s="58">
        <f>+'[1]PROYECC NOMINA 7% PUBLICA'!$J$55</f>
        <v>5732000</v>
      </c>
      <c r="L67" s="58">
        <f>+'[1]PROYECC NOMINA 7% PUBLICA'!$J$55</f>
        <v>5732000</v>
      </c>
      <c r="M67" s="58">
        <f>+'[1]PROYECC NOMINA 7% PUBLICA'!$J$55</f>
        <v>5732000</v>
      </c>
      <c r="N67" s="58">
        <f>+'[1]PROYECC NOMINA 7% PUBLICA'!$J$55</f>
        <v>5732000</v>
      </c>
      <c r="O67" s="256">
        <f t="shared" si="67"/>
        <v>68784000</v>
      </c>
      <c r="P67" s="50">
        <f t="shared" si="64"/>
        <v>0.16984018527911984</v>
      </c>
    </row>
    <row r="68" spans="1:16" s="31" customFormat="1" ht="15">
      <c r="A68" s="163" t="s">
        <v>103</v>
      </c>
      <c r="B68" s="257">
        <v>32577416</v>
      </c>
      <c r="C68" s="58">
        <f>+'[1]PROYECC NOMINA 7% PUBLICA'!$K$55</f>
        <v>4207000</v>
      </c>
      <c r="D68" s="58">
        <f>+'[1]PROYECC NOMINA 7% PUBLICA'!$K$55</f>
        <v>4207000</v>
      </c>
      <c r="E68" s="58">
        <f>+'[1]PROYECC NOMINA 7% PUBLICA'!$K$55</f>
        <v>4207000</v>
      </c>
      <c r="F68" s="58">
        <f>+'[1]PROYECC NOMINA 7% PUBLICA'!$K$55</f>
        <v>4207000</v>
      </c>
      <c r="G68" s="58">
        <f>+'[1]PROYECC NOMINA 7% PUBLICA'!$K$55</f>
        <v>4207000</v>
      </c>
      <c r="H68" s="58">
        <f>+'[1]PROYECC NOMINA 7% PUBLICA'!$K$55</f>
        <v>4207000</v>
      </c>
      <c r="I68" s="58">
        <f>+'[1]PROYECC NOMINA 7% PUBLICA'!$K$55</f>
        <v>4207000</v>
      </c>
      <c r="J68" s="58">
        <f>+'[1]PROYECC NOMINA 7% PUBLICA'!$K$55</f>
        <v>4207000</v>
      </c>
      <c r="K68" s="58">
        <f>+'[1]PROYECC NOMINA 7% PUBLICA'!$K$55</f>
        <v>4207000</v>
      </c>
      <c r="L68" s="58">
        <f>+'[1]PROYECC NOMINA 7% PUBLICA'!$K$55</f>
        <v>4207000</v>
      </c>
      <c r="M68" s="58">
        <f>+'[1]PROYECC NOMINA 7% PUBLICA'!$K$55</f>
        <v>4207000</v>
      </c>
      <c r="N68" s="58">
        <f>+'[1]PROYECC NOMINA 7% PUBLICA'!$K$55</f>
        <v>4207000</v>
      </c>
      <c r="O68" s="256">
        <f t="shared" si="67"/>
        <v>50484000</v>
      </c>
      <c r="P68" s="50">
        <f t="shared" si="64"/>
        <v>0.549662502391227</v>
      </c>
    </row>
    <row r="69" spans="1:16" s="31" customFormat="1" ht="15">
      <c r="A69" s="163" t="s">
        <v>313</v>
      </c>
      <c r="B69" s="257">
        <v>0</v>
      </c>
      <c r="C69" s="58">
        <f>+'[1]PROYECC NOMINA 7% PUBLICA'!$F$55</f>
        <v>0</v>
      </c>
      <c r="D69" s="58">
        <f>+'[1]PROYECC NOMINA 7% PUBLICA'!$F$55</f>
        <v>0</v>
      </c>
      <c r="E69" s="58">
        <f>+'[1]PROYECC NOMINA 7% PUBLICA'!$F$55</f>
        <v>0</v>
      </c>
      <c r="F69" s="58">
        <f>+'[1]PROYECC NOMINA 7% PUBLICA'!$F$55</f>
        <v>0</v>
      </c>
      <c r="G69" s="58">
        <f>+'[1]PROYECC NOMINA 7% PUBLICA'!$F$55</f>
        <v>0</v>
      </c>
      <c r="H69" s="58">
        <f>+'[1]PROYECC NOMINA 7% PUBLICA'!$F$55</f>
        <v>0</v>
      </c>
      <c r="I69" s="58">
        <f>+'[1]PROYECC NOMINA 7% PUBLICA'!$F$55</f>
        <v>0</v>
      </c>
      <c r="J69" s="58">
        <f>+'[1]PROYECC NOMINA 7% PUBLICA'!$F$55</f>
        <v>0</v>
      </c>
      <c r="K69" s="58">
        <f>+'[1]PROYECC NOMINA 7% PUBLICA'!$F$55</f>
        <v>0</v>
      </c>
      <c r="L69" s="58">
        <f>+'[1]PROYECC NOMINA 7% PUBLICA'!$F$55</f>
        <v>0</v>
      </c>
      <c r="M69" s="58">
        <f>+'[1]PROYECC NOMINA 7% PUBLICA'!$F$55</f>
        <v>0</v>
      </c>
      <c r="N69" s="58">
        <f>+'[1]PROYECC NOMINA 7% PUBLICA'!$F$55</f>
        <v>0</v>
      </c>
      <c r="O69" s="256">
        <f t="shared" si="67"/>
        <v>0</v>
      </c>
      <c r="P69" s="50">
        <v>0</v>
      </c>
    </row>
    <row r="70" spans="1:16" s="31" customFormat="1" ht="15">
      <c r="A70" s="163" t="s">
        <v>739</v>
      </c>
      <c r="B70" s="257">
        <v>34000000</v>
      </c>
      <c r="C70" s="58">
        <f>+'[1]PROYECC NOMINA 7% PUBLICA'!$G$55</f>
        <v>0</v>
      </c>
      <c r="D70" s="58">
        <f>+'[1]PROYECC NOMINA 7% PUBLICA'!$G$55</f>
        <v>0</v>
      </c>
      <c r="E70" s="58">
        <f>+'[1]PROYECC NOMINA 7% PUBLICA'!$G$55</f>
        <v>0</v>
      </c>
      <c r="F70" s="58">
        <f>+'[1]PROYECC NOMINA 7% PUBLICA'!$G$55</f>
        <v>0</v>
      </c>
      <c r="G70" s="58">
        <f>+'[1]PROYECC NOMINA 7% PUBLICA'!$G$55</f>
        <v>0</v>
      </c>
      <c r="H70" s="58">
        <v>13608000</v>
      </c>
      <c r="I70" s="58">
        <f>+'[1]PROYECC NOMINA 7% PUBLICA'!$G$55</f>
        <v>0</v>
      </c>
      <c r="J70" s="58">
        <f>+'[1]PROYECC NOMINA 7% PUBLICA'!$G$55</f>
        <v>0</v>
      </c>
      <c r="K70" s="58">
        <f>+'[1]PROYECC NOMINA 7% PUBLICA'!$G$55</f>
        <v>0</v>
      </c>
      <c r="L70" s="58">
        <f>+'[1]PROYECC NOMINA 7% PUBLICA'!$G$55</f>
        <v>0</v>
      </c>
      <c r="M70" s="58">
        <f>+'[1]PROYECC NOMINA 7% PUBLICA'!$G$55</f>
        <v>0</v>
      </c>
      <c r="N70" s="58">
        <f>13608000+27000000</f>
        <v>40608000</v>
      </c>
      <c r="O70" s="256">
        <f t="shared" si="67"/>
        <v>54216000</v>
      </c>
      <c r="P70" s="50">
        <v>1</v>
      </c>
    </row>
    <row r="71" spans="1:16" s="31" customFormat="1" ht="15">
      <c r="A71" s="163" t="s">
        <v>106</v>
      </c>
      <c r="B71" s="257">
        <v>13661653</v>
      </c>
      <c r="C71" s="73">
        <v>400000</v>
      </c>
      <c r="D71" s="58">
        <v>0</v>
      </c>
      <c r="E71" s="58">
        <v>0</v>
      </c>
      <c r="F71" s="58">
        <v>0</v>
      </c>
      <c r="G71" s="58">
        <f>+'[1]PROYECC NOMINA 7% PUBLICA'!$R$55</f>
        <v>14500000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256">
        <f t="shared" si="67"/>
        <v>14900000</v>
      </c>
      <c r="P71" s="50">
        <f t="shared" si="64"/>
        <v>0.09064400918395453</v>
      </c>
    </row>
    <row r="72" spans="1:16" s="31" customFormat="1" ht="15">
      <c r="A72" s="163" t="s">
        <v>108</v>
      </c>
      <c r="B72" s="257">
        <v>27120240</v>
      </c>
      <c r="C72" s="73">
        <v>1200000</v>
      </c>
      <c r="D72" s="58">
        <f>4500000+1000000</f>
        <v>5500000</v>
      </c>
      <c r="E72" s="58">
        <v>2000000</v>
      </c>
      <c r="F72" s="58">
        <v>3000000</v>
      </c>
      <c r="G72" s="73">
        <v>4268000</v>
      </c>
      <c r="H72" s="58">
        <v>0</v>
      </c>
      <c r="I72" s="58">
        <v>2000000</v>
      </c>
      <c r="J72" s="58">
        <v>0</v>
      </c>
      <c r="K72" s="58">
        <v>500000</v>
      </c>
      <c r="L72" s="58">
        <v>0</v>
      </c>
      <c r="M72" s="58">
        <v>4500000</v>
      </c>
      <c r="N72" s="58">
        <v>0</v>
      </c>
      <c r="O72" s="256">
        <f t="shared" si="67"/>
        <v>22968000</v>
      </c>
      <c r="P72" s="50">
        <f t="shared" si="64"/>
        <v>-0.15310483978017894</v>
      </c>
    </row>
    <row r="73" spans="1:16" s="31" customFormat="1" ht="15">
      <c r="A73" s="163" t="s">
        <v>109</v>
      </c>
      <c r="B73" s="257">
        <v>4034700</v>
      </c>
      <c r="C73" s="58">
        <f>+'[1]PROYECC NOMINA 7% PUBLICA'!$N$55</f>
        <v>409000</v>
      </c>
      <c r="D73" s="58">
        <f>+'[1]PROYECC NOMINA 7% PUBLICA'!$N$55</f>
        <v>409000</v>
      </c>
      <c r="E73" s="58">
        <f>+'[1]PROYECC NOMINA 7% PUBLICA'!$N$55</f>
        <v>409000</v>
      </c>
      <c r="F73" s="58">
        <f>+'[1]PROYECC NOMINA 7% PUBLICA'!$N$55</f>
        <v>409000</v>
      </c>
      <c r="G73" s="58">
        <f>+'[1]PROYECC NOMINA 7% PUBLICA'!$N$55</f>
        <v>409000</v>
      </c>
      <c r="H73" s="58">
        <f>+'[1]PROYECC NOMINA 7% PUBLICA'!$N$55</f>
        <v>409000</v>
      </c>
      <c r="I73" s="58">
        <f>+'[1]PROYECC NOMINA 7% PUBLICA'!$N$55</f>
        <v>409000</v>
      </c>
      <c r="J73" s="58">
        <f>+'[1]PROYECC NOMINA 7% PUBLICA'!$N$55</f>
        <v>409000</v>
      </c>
      <c r="K73" s="58">
        <f>+'[1]PROYECC NOMINA 7% PUBLICA'!$N$55</f>
        <v>409000</v>
      </c>
      <c r="L73" s="58">
        <f>+'[1]PROYECC NOMINA 7% PUBLICA'!$N$55</f>
        <v>409000</v>
      </c>
      <c r="M73" s="58">
        <f>+'[1]PROYECC NOMINA 7% PUBLICA'!$N$55</f>
        <v>409000</v>
      </c>
      <c r="N73" s="58">
        <f>+'[1]PROYECC NOMINA 7% PUBLICA'!$N$55</f>
        <v>409000</v>
      </c>
      <c r="O73" s="256">
        <f t="shared" si="67"/>
        <v>4908000</v>
      </c>
      <c r="P73" s="50">
        <f t="shared" si="64"/>
        <v>0.21644731950330878</v>
      </c>
    </row>
    <row r="74" spans="1:16" s="31" customFormat="1" ht="15">
      <c r="A74" s="163" t="s">
        <v>110</v>
      </c>
      <c r="B74" s="257">
        <v>58792158</v>
      </c>
      <c r="C74" s="58">
        <f>+'[1]PROYECC NOMINA 7% PUBLICA'!$L$55</f>
        <v>5718000</v>
      </c>
      <c r="D74" s="58">
        <f>+'[1]PROYECC NOMINA 7% PUBLICA'!$L$55</f>
        <v>5718000</v>
      </c>
      <c r="E74" s="58">
        <f>+'[1]PROYECC NOMINA 7% PUBLICA'!$L$55</f>
        <v>5718000</v>
      </c>
      <c r="F74" s="58">
        <f>+'[1]PROYECC NOMINA 7% PUBLICA'!$L$55</f>
        <v>5718000</v>
      </c>
      <c r="G74" s="58">
        <f>+'[1]PROYECC NOMINA 7% PUBLICA'!$L$55</f>
        <v>5718000</v>
      </c>
      <c r="H74" s="58">
        <f>+'[1]PROYECC NOMINA 7% PUBLICA'!$L$55</f>
        <v>5718000</v>
      </c>
      <c r="I74" s="58">
        <f>+'[1]PROYECC NOMINA 7% PUBLICA'!$L$55</f>
        <v>5718000</v>
      </c>
      <c r="J74" s="58">
        <f>+'[1]PROYECC NOMINA 7% PUBLICA'!$L$55</f>
        <v>5718000</v>
      </c>
      <c r="K74" s="58">
        <f>+'[1]PROYECC NOMINA 7% PUBLICA'!$L$55</f>
        <v>5718000</v>
      </c>
      <c r="L74" s="58">
        <f>+'[1]PROYECC NOMINA 7% PUBLICA'!$L$55</f>
        <v>5718000</v>
      </c>
      <c r="M74" s="58">
        <f>+'[1]PROYECC NOMINA 7% PUBLICA'!$L$55</f>
        <v>5718000</v>
      </c>
      <c r="N74" s="58">
        <f>+'[1]PROYECC NOMINA 7% PUBLICA'!$L$55</f>
        <v>5718000</v>
      </c>
      <c r="O74" s="256">
        <f t="shared" si="67"/>
        <v>68616000</v>
      </c>
      <c r="P74" s="50">
        <f t="shared" si="64"/>
        <v>0.16709442779766648</v>
      </c>
    </row>
    <row r="75" spans="1:16" s="31" customFormat="1" ht="15">
      <c r="A75" s="163" t="s">
        <v>111</v>
      </c>
      <c r="B75" s="257">
        <v>82965227</v>
      </c>
      <c r="C75" s="58">
        <f>+'[1]PROYECC NOMINA 7% PUBLICA'!$M$55</f>
        <v>8065000</v>
      </c>
      <c r="D75" s="58">
        <f>+'[1]PROYECC NOMINA 7% PUBLICA'!$M$55</f>
        <v>8065000</v>
      </c>
      <c r="E75" s="58">
        <f>+'[1]PROYECC NOMINA 7% PUBLICA'!$M$55</f>
        <v>8065000</v>
      </c>
      <c r="F75" s="58">
        <f>+'[1]PROYECC NOMINA 7% PUBLICA'!$M$55</f>
        <v>8065000</v>
      </c>
      <c r="G75" s="58">
        <f>+'[1]PROYECC NOMINA 7% PUBLICA'!$M$55</f>
        <v>8065000</v>
      </c>
      <c r="H75" s="58">
        <f>+'[1]PROYECC NOMINA 7% PUBLICA'!$M$55</f>
        <v>8065000</v>
      </c>
      <c r="I75" s="58">
        <f>+'[1]PROYECC NOMINA 7% PUBLICA'!$M$55</f>
        <v>8065000</v>
      </c>
      <c r="J75" s="58">
        <f>+'[1]PROYECC NOMINA 7% PUBLICA'!$M$55</f>
        <v>8065000</v>
      </c>
      <c r="K75" s="58">
        <f>+'[1]PROYECC NOMINA 7% PUBLICA'!$M$55</f>
        <v>8065000</v>
      </c>
      <c r="L75" s="58">
        <f>+'[1]PROYECC NOMINA 7% PUBLICA'!$M$55</f>
        <v>8065000</v>
      </c>
      <c r="M75" s="58">
        <f>+'[1]PROYECC NOMINA 7% PUBLICA'!$M$55</f>
        <v>8065000</v>
      </c>
      <c r="N75" s="58">
        <f>+'[1]PROYECC NOMINA 7% PUBLICA'!$M$55</f>
        <v>8065000</v>
      </c>
      <c r="O75" s="256">
        <f t="shared" si="67"/>
        <v>96780000</v>
      </c>
      <c r="P75" s="50">
        <f t="shared" si="64"/>
        <v>0.1665128090350431</v>
      </c>
    </row>
    <row r="76" spans="1:16" s="31" customFormat="1" ht="15">
      <c r="A76" s="163" t="s">
        <v>112</v>
      </c>
      <c r="B76" s="257">
        <v>26714080</v>
      </c>
      <c r="C76" s="58">
        <f>+'[1]PROYECC NOMINA 7% PUBLICA'!$O$55</f>
        <v>2689000</v>
      </c>
      <c r="D76" s="58">
        <f>+'[1]PROYECC NOMINA 7% PUBLICA'!$O$55</f>
        <v>2689000</v>
      </c>
      <c r="E76" s="58">
        <f>+'[1]PROYECC NOMINA 7% PUBLICA'!$O$55</f>
        <v>2689000</v>
      </c>
      <c r="F76" s="58">
        <f>+'[1]PROYECC NOMINA 7% PUBLICA'!$O$55</f>
        <v>2689000</v>
      </c>
      <c r="G76" s="58">
        <f>+'[1]PROYECC NOMINA 7% PUBLICA'!$O$55</f>
        <v>2689000</v>
      </c>
      <c r="H76" s="58">
        <f>+'[1]PROYECC NOMINA 7% PUBLICA'!$O$55</f>
        <v>2689000</v>
      </c>
      <c r="I76" s="58">
        <f>+'[1]PROYECC NOMINA 7% PUBLICA'!$O$55</f>
        <v>2689000</v>
      </c>
      <c r="J76" s="58">
        <f>+'[1]PROYECC NOMINA 7% PUBLICA'!$O$55</f>
        <v>2689000</v>
      </c>
      <c r="K76" s="58">
        <f>+'[1]PROYECC NOMINA 7% PUBLICA'!$O$55</f>
        <v>2689000</v>
      </c>
      <c r="L76" s="58">
        <f>+'[1]PROYECC NOMINA 7% PUBLICA'!$O$55</f>
        <v>2689000</v>
      </c>
      <c r="M76" s="58">
        <f>+'[1]PROYECC NOMINA 7% PUBLICA'!$O$55</f>
        <v>2689000</v>
      </c>
      <c r="N76" s="58">
        <f>+'[1]PROYECC NOMINA 7% PUBLICA'!$O$55</f>
        <v>2689000</v>
      </c>
      <c r="O76" s="256">
        <f t="shared" si="67"/>
        <v>32268000</v>
      </c>
      <c r="P76" s="50">
        <f t="shared" si="64"/>
        <v>0.20790234962237142</v>
      </c>
    </row>
    <row r="77" spans="1:16" s="31" customFormat="1" ht="15">
      <c r="A77" s="163" t="s">
        <v>113</v>
      </c>
      <c r="B77" s="257">
        <v>20035560</v>
      </c>
      <c r="C77" s="58">
        <f>+'[1]PROYECC NOMINA 7% PUBLICA'!$P$55</f>
        <v>2021000</v>
      </c>
      <c r="D77" s="58">
        <f>+'[1]PROYECC NOMINA 7% PUBLICA'!$P$55</f>
        <v>2021000</v>
      </c>
      <c r="E77" s="58">
        <f>+'[1]PROYECC NOMINA 7% PUBLICA'!$P$55</f>
        <v>2021000</v>
      </c>
      <c r="F77" s="58">
        <f>+'[1]PROYECC NOMINA 7% PUBLICA'!$P$55</f>
        <v>2021000</v>
      </c>
      <c r="G77" s="58">
        <f>+'[1]PROYECC NOMINA 7% PUBLICA'!$P$55</f>
        <v>2021000</v>
      </c>
      <c r="H77" s="58">
        <f>+'[1]PROYECC NOMINA 7% PUBLICA'!$P$55</f>
        <v>2021000</v>
      </c>
      <c r="I77" s="58">
        <f>+'[1]PROYECC NOMINA 7% PUBLICA'!$P$55</f>
        <v>2021000</v>
      </c>
      <c r="J77" s="58">
        <f>+'[1]PROYECC NOMINA 7% PUBLICA'!$P$55</f>
        <v>2021000</v>
      </c>
      <c r="K77" s="58">
        <f>+'[1]PROYECC NOMINA 7% PUBLICA'!$P$55</f>
        <v>2021000</v>
      </c>
      <c r="L77" s="58">
        <f>+'[1]PROYECC NOMINA 7% PUBLICA'!$P$55</f>
        <v>2021000</v>
      </c>
      <c r="M77" s="58">
        <f>+'[1]PROYECC NOMINA 7% PUBLICA'!$P$55</f>
        <v>2021000</v>
      </c>
      <c r="N77" s="58">
        <f>+'[1]PROYECC NOMINA 7% PUBLICA'!$P$55</f>
        <v>2021000</v>
      </c>
      <c r="O77" s="256">
        <f t="shared" si="67"/>
        <v>24252000</v>
      </c>
      <c r="P77" s="50">
        <f t="shared" si="64"/>
        <v>0.21044782376933813</v>
      </c>
    </row>
    <row r="78" spans="1:16" s="31" customFormat="1" ht="15">
      <c r="A78" s="163" t="s">
        <v>114</v>
      </c>
      <c r="B78" s="257">
        <v>13357040</v>
      </c>
      <c r="C78" s="58">
        <f>+'[1]PROYECC NOMINA 7% PUBLICA'!$Q$55</f>
        <v>1344000</v>
      </c>
      <c r="D78" s="58">
        <f>+'[1]PROYECC NOMINA 7% PUBLICA'!$Q$55</f>
        <v>1344000</v>
      </c>
      <c r="E78" s="58">
        <f>+'[1]PROYECC NOMINA 7% PUBLICA'!$Q$55</f>
        <v>1344000</v>
      </c>
      <c r="F78" s="58">
        <f>+'[1]PROYECC NOMINA 7% PUBLICA'!$Q$55</f>
        <v>1344000</v>
      </c>
      <c r="G78" s="58">
        <f>+'[1]PROYECC NOMINA 7% PUBLICA'!$Q$55</f>
        <v>1344000</v>
      </c>
      <c r="H78" s="58">
        <f>+'[1]PROYECC NOMINA 7% PUBLICA'!$Q$55</f>
        <v>1344000</v>
      </c>
      <c r="I78" s="58">
        <f>+'[1]PROYECC NOMINA 7% PUBLICA'!$Q$55</f>
        <v>1344000</v>
      </c>
      <c r="J78" s="58">
        <f>+'[1]PROYECC NOMINA 7% PUBLICA'!$Q$55</f>
        <v>1344000</v>
      </c>
      <c r="K78" s="58">
        <f>+'[1]PROYECC NOMINA 7% PUBLICA'!$Q$55</f>
        <v>1344000</v>
      </c>
      <c r="L78" s="58">
        <f>+'[1]PROYECC NOMINA 7% PUBLICA'!$Q$55</f>
        <v>1344000</v>
      </c>
      <c r="M78" s="58">
        <f>+'[1]PROYECC NOMINA 7% PUBLICA'!$Q$55</f>
        <v>1344000</v>
      </c>
      <c r="N78" s="58">
        <f>+'[1]PROYECC NOMINA 7% PUBLICA'!$Q$55</f>
        <v>1344000</v>
      </c>
      <c r="O78" s="256">
        <f t="shared" si="67"/>
        <v>16128000</v>
      </c>
      <c r="P78" s="50">
        <f t="shared" si="64"/>
        <v>0.20745314830231848</v>
      </c>
    </row>
    <row r="79" spans="1:16" ht="15">
      <c r="A79" s="163" t="s">
        <v>24</v>
      </c>
      <c r="B79" s="257">
        <v>40802700</v>
      </c>
      <c r="C79" s="51">
        <v>0</v>
      </c>
      <c r="D79" s="51">
        <v>0</v>
      </c>
      <c r="E79" s="51">
        <v>0</v>
      </c>
      <c r="F79" s="59"/>
      <c r="G79" s="59"/>
      <c r="H79" s="59"/>
      <c r="I79" s="59"/>
      <c r="J79" s="59"/>
      <c r="K79" s="59"/>
      <c r="L79" s="59"/>
      <c r="M79" s="51">
        <v>0</v>
      </c>
      <c r="N79" s="51">
        <v>0</v>
      </c>
      <c r="O79" s="256">
        <f aca="true" t="shared" si="68" ref="O79">SUM(C79:N79)</f>
        <v>0</v>
      </c>
      <c r="P79" s="50">
        <f t="shared" si="64"/>
        <v>-1</v>
      </c>
    </row>
    <row r="80" spans="1:16" s="31" customFormat="1" ht="15">
      <c r="A80" s="163" t="s">
        <v>116</v>
      </c>
      <c r="B80" s="257">
        <f>191000+420000</f>
        <v>611000</v>
      </c>
      <c r="C80" s="58">
        <v>0</v>
      </c>
      <c r="D80" s="58">
        <v>500000</v>
      </c>
      <c r="E80" s="58">
        <v>0</v>
      </c>
      <c r="F80" s="58">
        <v>0</v>
      </c>
      <c r="G80" s="58">
        <v>0</v>
      </c>
      <c r="H80" s="58">
        <v>0</v>
      </c>
      <c r="I80" s="58">
        <v>500000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256">
        <f t="shared" si="67"/>
        <v>1000000</v>
      </c>
      <c r="P80" s="50">
        <f t="shared" si="64"/>
        <v>0.6366612111292962</v>
      </c>
    </row>
    <row r="81" spans="1:16" s="31" customFormat="1" ht="15">
      <c r="A81" s="29" t="s">
        <v>1</v>
      </c>
      <c r="B81" s="268">
        <f aca="true" t="shared" si="69" ref="B81:O81">+SUM(B82:B96)</f>
        <v>39317780</v>
      </c>
      <c r="C81" s="60">
        <f t="shared" si="69"/>
        <v>2247416.666666667</v>
      </c>
      <c r="D81" s="60">
        <f t="shared" si="69"/>
        <v>4847416.666666667</v>
      </c>
      <c r="E81" s="60">
        <f t="shared" si="69"/>
        <v>22347416.666666668</v>
      </c>
      <c r="F81" s="60">
        <f t="shared" si="69"/>
        <v>25565416.666666668</v>
      </c>
      <c r="G81" s="60">
        <f t="shared" si="69"/>
        <v>2747416.666666667</v>
      </c>
      <c r="H81" s="60">
        <f t="shared" si="69"/>
        <v>24513416.666666668</v>
      </c>
      <c r="I81" s="60">
        <f t="shared" si="69"/>
        <v>3847416.666666667</v>
      </c>
      <c r="J81" s="60">
        <f t="shared" si="69"/>
        <v>8647416.666666668</v>
      </c>
      <c r="K81" s="60">
        <f t="shared" si="69"/>
        <v>2347416.666666667</v>
      </c>
      <c r="L81" s="60">
        <f t="shared" si="69"/>
        <v>2247416.666666667</v>
      </c>
      <c r="M81" s="60">
        <f t="shared" si="69"/>
        <v>3247416.666666667</v>
      </c>
      <c r="N81" s="60">
        <f t="shared" si="69"/>
        <v>2247416.666666667</v>
      </c>
      <c r="O81" s="268">
        <f t="shared" si="69"/>
        <v>104853000</v>
      </c>
      <c r="P81" s="50">
        <f t="shared" si="64"/>
        <v>1.6668087567507626</v>
      </c>
    </row>
    <row r="82" spans="1:16" ht="15">
      <c r="A82" s="163" t="s">
        <v>2</v>
      </c>
      <c r="B82" s="258">
        <v>18999780</v>
      </c>
      <c r="C82" s="51">
        <f aca="true" t="shared" si="70" ref="C82:N82">ROUND(+($B$82*$B$58)+$B$82,-3)/12</f>
        <v>1694166.6666666667</v>
      </c>
      <c r="D82" s="51">
        <f t="shared" si="70"/>
        <v>1694166.6666666667</v>
      </c>
      <c r="E82" s="51">
        <f t="shared" si="70"/>
        <v>1694166.6666666667</v>
      </c>
      <c r="F82" s="51">
        <f t="shared" si="70"/>
        <v>1694166.6666666667</v>
      </c>
      <c r="G82" s="51">
        <f t="shared" si="70"/>
        <v>1694166.6666666667</v>
      </c>
      <c r="H82" s="51">
        <f t="shared" si="70"/>
        <v>1694166.6666666667</v>
      </c>
      <c r="I82" s="51">
        <f t="shared" si="70"/>
        <v>1694166.6666666667</v>
      </c>
      <c r="J82" s="51">
        <f t="shared" si="70"/>
        <v>1694166.6666666667</v>
      </c>
      <c r="K82" s="51">
        <f t="shared" si="70"/>
        <v>1694166.6666666667</v>
      </c>
      <c r="L82" s="51">
        <f t="shared" si="70"/>
        <v>1694166.6666666667</v>
      </c>
      <c r="M82" s="51">
        <f t="shared" si="70"/>
        <v>1694166.6666666667</v>
      </c>
      <c r="N82" s="51">
        <f t="shared" si="70"/>
        <v>1694166.6666666667</v>
      </c>
      <c r="O82" s="259">
        <f aca="true" t="shared" si="71" ref="O82:O96">SUM(C82:N82)</f>
        <v>20330000</v>
      </c>
      <c r="P82" s="50">
        <f t="shared" si="64"/>
        <v>0.07001238961714294</v>
      </c>
    </row>
    <row r="83" spans="1:16" ht="15">
      <c r="A83" s="163" t="s">
        <v>607</v>
      </c>
      <c r="B83" s="258">
        <f>3900000+9100000</f>
        <v>13000000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259">
        <f t="shared" si="71"/>
        <v>0</v>
      </c>
      <c r="P83" s="50"/>
    </row>
    <row r="84" spans="1:16" ht="15">
      <c r="A84" s="163" t="s">
        <v>605</v>
      </c>
      <c r="B84" s="258">
        <v>1060000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259">
        <f t="shared" si="71"/>
        <v>0</v>
      </c>
      <c r="P84" s="50"/>
    </row>
    <row r="85" spans="1:16" ht="15">
      <c r="A85" s="163" t="s">
        <v>606</v>
      </c>
      <c r="B85" s="258">
        <v>2068000</v>
      </c>
      <c r="C85" s="51">
        <f>ROUND(+($B$85*$B$58)+$B$85,-3)/4</f>
        <v>553250</v>
      </c>
      <c r="D85" s="51">
        <f aca="true" t="shared" si="72" ref="D85:N85">ROUND(+($B$85*$B$58)+$B$85,-3)/4</f>
        <v>553250</v>
      </c>
      <c r="E85" s="51">
        <f t="shared" si="72"/>
        <v>553250</v>
      </c>
      <c r="F85" s="51">
        <f t="shared" si="72"/>
        <v>553250</v>
      </c>
      <c r="G85" s="51">
        <f t="shared" si="72"/>
        <v>553250</v>
      </c>
      <c r="H85" s="51">
        <f t="shared" si="72"/>
        <v>553250</v>
      </c>
      <c r="I85" s="51">
        <f t="shared" si="72"/>
        <v>553250</v>
      </c>
      <c r="J85" s="51">
        <f t="shared" si="72"/>
        <v>553250</v>
      </c>
      <c r="K85" s="51">
        <f t="shared" si="72"/>
        <v>553250</v>
      </c>
      <c r="L85" s="51">
        <f t="shared" si="72"/>
        <v>553250</v>
      </c>
      <c r="M85" s="51">
        <f t="shared" si="72"/>
        <v>553250</v>
      </c>
      <c r="N85" s="51">
        <f t="shared" si="72"/>
        <v>553250</v>
      </c>
      <c r="O85" s="259">
        <f aca="true" t="shared" si="73" ref="O85">SUM(C85:N85)</f>
        <v>6639000</v>
      </c>
      <c r="P85" s="50">
        <f t="shared" si="64"/>
        <v>2.210348162475822</v>
      </c>
    </row>
    <row r="86" spans="1:16" s="63" customFormat="1" ht="15">
      <c r="A86" s="290" t="s">
        <v>249</v>
      </c>
      <c r="B86" s="258">
        <v>2540000</v>
      </c>
      <c r="C86" s="61">
        <v>0</v>
      </c>
      <c r="D86" s="61">
        <v>0</v>
      </c>
      <c r="E86" s="62">
        <v>0</v>
      </c>
      <c r="F86" s="51">
        <f>ROUND(+($B$86*$B$58)+$B$86,-3)</f>
        <v>2718000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363">
        <f t="shared" si="71"/>
        <v>2718000</v>
      </c>
      <c r="P86" s="50">
        <f t="shared" si="64"/>
        <v>0.07007874015748032</v>
      </c>
    </row>
    <row r="87" spans="1:16" ht="15">
      <c r="A87" s="163" t="s">
        <v>407</v>
      </c>
      <c r="B87" s="258">
        <f>450000+1200000</f>
        <v>1650000</v>
      </c>
      <c r="C87" s="51"/>
      <c r="D87" s="51">
        <v>0</v>
      </c>
      <c r="E87" s="59"/>
      <c r="F87" s="51"/>
      <c r="G87" s="51">
        <v>0</v>
      </c>
      <c r="H87" s="51">
        <f>ROUND(+($B$87*$B$58)+$B$87,-3)</f>
        <v>1766000</v>
      </c>
      <c r="I87" s="59"/>
      <c r="J87" s="51">
        <v>0</v>
      </c>
      <c r="K87" s="59"/>
      <c r="L87" s="51">
        <v>0</v>
      </c>
      <c r="M87" s="51"/>
      <c r="N87" s="51"/>
      <c r="O87" s="259">
        <f t="shared" si="71"/>
        <v>1766000</v>
      </c>
      <c r="P87" s="50">
        <v>1</v>
      </c>
    </row>
    <row r="88" spans="1:16" ht="15">
      <c r="A88" s="163" t="s">
        <v>674</v>
      </c>
      <c r="B88" s="258"/>
      <c r="C88" s="51"/>
      <c r="D88" s="51"/>
      <c r="E88" s="59"/>
      <c r="F88" s="51"/>
      <c r="G88" s="51">
        <v>0</v>
      </c>
      <c r="H88" s="51"/>
      <c r="I88" s="51">
        <v>1000000</v>
      </c>
      <c r="J88" s="51"/>
      <c r="K88" s="59"/>
      <c r="L88" s="51"/>
      <c r="M88" s="51">
        <v>1000000</v>
      </c>
      <c r="N88" s="51"/>
      <c r="O88" s="363">
        <f aca="true" t="shared" si="74" ref="O88">SUM(C88:N88)</f>
        <v>2000000</v>
      </c>
      <c r="P88" s="50">
        <v>2</v>
      </c>
    </row>
    <row r="89" spans="1:16" ht="15">
      <c r="A89" s="163" t="s">
        <v>539</v>
      </c>
      <c r="B89" s="258">
        <v>0</v>
      </c>
      <c r="C89" s="51"/>
      <c r="D89" s="51"/>
      <c r="E89" s="51"/>
      <c r="F89" s="51"/>
      <c r="G89" s="51">
        <v>0</v>
      </c>
      <c r="H89" s="51">
        <v>10000000</v>
      </c>
      <c r="I89" s="51"/>
      <c r="J89" s="51"/>
      <c r="K89" s="51"/>
      <c r="L89" s="51"/>
      <c r="M89" s="51"/>
      <c r="N89" s="51"/>
      <c r="O89" s="259">
        <f t="shared" si="71"/>
        <v>10000000</v>
      </c>
      <c r="P89" s="50">
        <v>1</v>
      </c>
    </row>
    <row r="90" spans="1:16" ht="15">
      <c r="A90" s="163" t="s">
        <v>540</v>
      </c>
      <c r="B90" s="258">
        <v>0</v>
      </c>
      <c r="C90" s="51"/>
      <c r="D90" s="51"/>
      <c r="E90" s="51">
        <v>0</v>
      </c>
      <c r="F90" s="51" t="s">
        <v>237</v>
      </c>
      <c r="G90" s="51"/>
      <c r="H90" s="51">
        <v>10000000</v>
      </c>
      <c r="I90" s="51"/>
      <c r="J90" s="51"/>
      <c r="K90" s="51"/>
      <c r="L90" s="51"/>
      <c r="M90" s="51"/>
      <c r="N90" s="51"/>
      <c r="O90" s="259">
        <f t="shared" si="71"/>
        <v>10000000</v>
      </c>
      <c r="P90" s="50">
        <v>1</v>
      </c>
    </row>
    <row r="91" spans="1:16" ht="15">
      <c r="A91" s="163" t="s">
        <v>666</v>
      </c>
      <c r="B91" s="258">
        <v>0</v>
      </c>
      <c r="C91" s="51"/>
      <c r="D91" s="51"/>
      <c r="E91" s="51"/>
      <c r="F91" s="51">
        <v>500000</v>
      </c>
      <c r="G91" s="51">
        <v>500000</v>
      </c>
      <c r="H91" s="51">
        <v>500000</v>
      </c>
      <c r="I91" s="51">
        <v>500000</v>
      </c>
      <c r="J91" s="51"/>
      <c r="K91" s="51"/>
      <c r="L91" s="51"/>
      <c r="M91" s="51"/>
      <c r="N91" s="51"/>
      <c r="O91" s="363">
        <f t="shared" si="71"/>
        <v>2000000</v>
      </c>
      <c r="P91" s="50">
        <v>1</v>
      </c>
    </row>
    <row r="92" spans="1:16" ht="15">
      <c r="A92" s="163" t="s">
        <v>647</v>
      </c>
      <c r="B92" s="258">
        <v>0</v>
      </c>
      <c r="C92" s="51"/>
      <c r="D92" s="73">
        <v>2500000</v>
      </c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363">
        <f t="shared" si="71"/>
        <v>2500000</v>
      </c>
      <c r="P92" s="50">
        <v>1</v>
      </c>
    </row>
    <row r="93" spans="1:16" ht="15">
      <c r="A93" s="163" t="s">
        <v>535</v>
      </c>
      <c r="B93" s="258">
        <v>0</v>
      </c>
      <c r="C93" s="51"/>
      <c r="D93" s="51"/>
      <c r="E93" s="51"/>
      <c r="F93" s="51"/>
      <c r="G93" s="51"/>
      <c r="H93" s="51"/>
      <c r="I93" s="51"/>
      <c r="J93" s="51">
        <v>6300000</v>
      </c>
      <c r="K93" s="51"/>
      <c r="L93" s="59"/>
      <c r="M93" s="59"/>
      <c r="N93" s="51">
        <v>0</v>
      </c>
      <c r="O93" s="363">
        <f t="shared" si="71"/>
        <v>6300000</v>
      </c>
      <c r="P93" s="50">
        <v>1</v>
      </c>
    </row>
    <row r="94" spans="1:16" ht="15">
      <c r="A94" s="163" t="s">
        <v>661</v>
      </c>
      <c r="B94" s="258">
        <v>0</v>
      </c>
      <c r="C94" s="51"/>
      <c r="D94" s="51"/>
      <c r="E94" s="51"/>
      <c r="F94" s="51">
        <v>20000000</v>
      </c>
      <c r="G94" s="51"/>
      <c r="H94" s="51"/>
      <c r="I94" s="51">
        <v>0</v>
      </c>
      <c r="J94" s="51"/>
      <c r="K94" s="51"/>
      <c r="L94" s="59"/>
      <c r="M94" s="59"/>
      <c r="N94" s="51"/>
      <c r="O94" s="259">
        <f t="shared" si="71"/>
        <v>20000000</v>
      </c>
      <c r="P94" s="50">
        <v>1</v>
      </c>
    </row>
    <row r="95" spans="1:16" ht="15">
      <c r="A95" s="163" t="s">
        <v>762</v>
      </c>
      <c r="B95" s="258"/>
      <c r="C95" s="51"/>
      <c r="D95" s="51"/>
      <c r="E95" s="51">
        <v>20000000</v>
      </c>
      <c r="F95" s="51"/>
      <c r="G95" s="51"/>
      <c r="H95" s="51"/>
      <c r="I95" s="51"/>
      <c r="J95" s="51"/>
      <c r="K95" s="51"/>
      <c r="L95" s="59"/>
      <c r="M95" s="59"/>
      <c r="N95" s="51"/>
      <c r="O95" s="363">
        <f t="shared" si="71"/>
        <v>20000000</v>
      </c>
      <c r="P95" s="50">
        <v>1</v>
      </c>
    </row>
    <row r="96" spans="1:16" ht="15">
      <c r="A96" s="163" t="s">
        <v>408</v>
      </c>
      <c r="B96" s="258">
        <v>0</v>
      </c>
      <c r="C96" s="51"/>
      <c r="D96" s="51">
        <v>100000</v>
      </c>
      <c r="E96" s="51">
        <v>100000</v>
      </c>
      <c r="F96" s="51">
        <v>100000</v>
      </c>
      <c r="G96" s="51"/>
      <c r="H96" s="51">
        <v>0</v>
      </c>
      <c r="I96" s="51">
        <v>100000</v>
      </c>
      <c r="J96" s="51">
        <v>100000</v>
      </c>
      <c r="K96" s="51">
        <v>100000</v>
      </c>
      <c r="L96" s="59"/>
      <c r="M96" s="59"/>
      <c r="N96" s="59"/>
      <c r="O96" s="259">
        <f t="shared" si="71"/>
        <v>600000</v>
      </c>
      <c r="P96" s="50">
        <v>0</v>
      </c>
    </row>
    <row r="97" spans="1:16" ht="15">
      <c r="A97" s="29" t="s">
        <v>5</v>
      </c>
      <c r="B97" s="260">
        <f>+B98+B99+B100</f>
        <v>60289423</v>
      </c>
      <c r="C97" s="30">
        <f>+C98+C99+C100</f>
        <v>11597000</v>
      </c>
      <c r="D97" s="30">
        <f aca="true" t="shared" si="75" ref="D97:O97">+D98+D99+D100</f>
        <v>6021000</v>
      </c>
      <c r="E97" s="30">
        <f t="shared" si="75"/>
        <v>8701000</v>
      </c>
      <c r="F97" s="30">
        <f t="shared" si="75"/>
        <v>6744000</v>
      </c>
      <c r="G97" s="30">
        <f t="shared" si="75"/>
        <v>3382000</v>
      </c>
      <c r="H97" s="30">
        <f t="shared" si="75"/>
        <v>4661000</v>
      </c>
      <c r="I97" s="30">
        <f t="shared" si="75"/>
        <v>4631000</v>
      </c>
      <c r="J97" s="30">
        <f t="shared" si="75"/>
        <v>5860000</v>
      </c>
      <c r="K97" s="30">
        <f t="shared" si="75"/>
        <v>2698000</v>
      </c>
      <c r="L97" s="30">
        <f t="shared" si="75"/>
        <v>3405000</v>
      </c>
      <c r="M97" s="30">
        <f t="shared" si="75"/>
        <v>3405000</v>
      </c>
      <c r="N97" s="30">
        <f t="shared" si="75"/>
        <v>3405000</v>
      </c>
      <c r="O97" s="260">
        <f t="shared" si="75"/>
        <v>64510000</v>
      </c>
      <c r="P97" s="39">
        <f aca="true" t="shared" si="76" ref="P97">+(O97-B97)/B97</f>
        <v>0.07000526443917036</v>
      </c>
    </row>
    <row r="98" spans="1:16" ht="15">
      <c r="A98" s="292" t="s">
        <v>6</v>
      </c>
      <c r="B98" s="261">
        <v>6572530</v>
      </c>
      <c r="C98" s="64">
        <f>ROUND(((+$B$98*$B$58)+$B$98),-3)</f>
        <v>7033000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259">
        <f aca="true" t="shared" si="77" ref="O98:O103">SUM(C98:N98)</f>
        <v>7033000</v>
      </c>
      <c r="P98" s="50">
        <f aca="true" t="shared" si="78" ref="P98:P99">+(O98-B98)/B98</f>
        <v>0.07005977911093597</v>
      </c>
    </row>
    <row r="99" spans="1:16" ht="15">
      <c r="A99" s="292" t="s">
        <v>477</v>
      </c>
      <c r="B99" s="261">
        <v>1936600</v>
      </c>
      <c r="C99" s="64">
        <v>0</v>
      </c>
      <c r="D99" s="64">
        <v>0</v>
      </c>
      <c r="E99" s="64">
        <v>0</v>
      </c>
      <c r="F99" s="64">
        <f>ROUND(((+$B$99*$B$58)+$B$99),-3)</f>
        <v>2072000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259">
        <f t="shared" si="77"/>
        <v>2072000</v>
      </c>
      <c r="P99" s="50">
        <f t="shared" si="78"/>
        <v>0.06991634823918207</v>
      </c>
    </row>
    <row r="100" spans="1:16" ht="15">
      <c r="A100" s="293" t="s">
        <v>250</v>
      </c>
      <c r="B100" s="262">
        <f aca="true" t="shared" si="79" ref="B100:O100">SUM(B101:B103)</f>
        <v>51780293</v>
      </c>
      <c r="C100" s="65">
        <f t="shared" si="79"/>
        <v>4564000</v>
      </c>
      <c r="D100" s="65">
        <f t="shared" si="79"/>
        <v>6021000</v>
      </c>
      <c r="E100" s="65">
        <f t="shared" si="79"/>
        <v>8701000</v>
      </c>
      <c r="F100" s="65">
        <f t="shared" si="79"/>
        <v>4672000</v>
      </c>
      <c r="G100" s="65">
        <f t="shared" si="79"/>
        <v>3382000</v>
      </c>
      <c r="H100" s="65">
        <f t="shared" si="79"/>
        <v>4661000</v>
      </c>
      <c r="I100" s="65">
        <f t="shared" si="79"/>
        <v>4631000</v>
      </c>
      <c r="J100" s="65">
        <f t="shared" si="79"/>
        <v>5860000</v>
      </c>
      <c r="K100" s="65">
        <f t="shared" si="79"/>
        <v>2698000</v>
      </c>
      <c r="L100" s="65">
        <f t="shared" si="79"/>
        <v>3405000</v>
      </c>
      <c r="M100" s="65">
        <f t="shared" si="79"/>
        <v>3405000</v>
      </c>
      <c r="N100" s="65">
        <f t="shared" si="79"/>
        <v>3405000</v>
      </c>
      <c r="O100" s="262">
        <f t="shared" si="79"/>
        <v>55405000</v>
      </c>
      <c r="P100" s="39">
        <f aca="true" t="shared" si="80" ref="P100:P102">+(O100-B100)/B100</f>
        <v>0.07000167032658544</v>
      </c>
    </row>
    <row r="101" spans="1:16" ht="15">
      <c r="A101" s="164" t="s">
        <v>251</v>
      </c>
      <c r="B101" s="261">
        <v>0</v>
      </c>
      <c r="C101" s="64">
        <f aca="true" t="shared" si="81" ref="C101:N101">ROUND(((+$B$101*$B$58)+$B$101)/12,-3)</f>
        <v>0</v>
      </c>
      <c r="D101" s="64">
        <f t="shared" si="81"/>
        <v>0</v>
      </c>
      <c r="E101" s="64">
        <f t="shared" si="81"/>
        <v>0</v>
      </c>
      <c r="F101" s="64">
        <f t="shared" si="81"/>
        <v>0</v>
      </c>
      <c r="G101" s="64">
        <f t="shared" si="81"/>
        <v>0</v>
      </c>
      <c r="H101" s="64">
        <f t="shared" si="81"/>
        <v>0</v>
      </c>
      <c r="I101" s="64">
        <f t="shared" si="81"/>
        <v>0</v>
      </c>
      <c r="J101" s="64">
        <f t="shared" si="81"/>
        <v>0</v>
      </c>
      <c r="K101" s="64">
        <f t="shared" si="81"/>
        <v>0</v>
      </c>
      <c r="L101" s="64">
        <f t="shared" si="81"/>
        <v>0</v>
      </c>
      <c r="M101" s="64">
        <f t="shared" si="81"/>
        <v>0</v>
      </c>
      <c r="N101" s="64">
        <f t="shared" si="81"/>
        <v>0</v>
      </c>
      <c r="O101" s="259">
        <f t="shared" si="77"/>
        <v>0</v>
      </c>
      <c r="P101" s="294">
        <v>0</v>
      </c>
    </row>
    <row r="102" spans="1:16" ht="15">
      <c r="A102" s="164" t="s">
        <v>252</v>
      </c>
      <c r="B102" s="261">
        <f>+O483</f>
        <v>51327457</v>
      </c>
      <c r="C102" s="64">
        <f>ROUND(((+$C$483*$B$58)+$C$483),-3)</f>
        <v>4557000</v>
      </c>
      <c r="D102" s="64">
        <f>ROUND(((+$D$483*$B$58)+$D$483),-3)</f>
        <v>5990000</v>
      </c>
      <c r="E102" s="64">
        <f>ROUND(((+$E$483*$B$58)+$E$483),-3)</f>
        <v>8638000</v>
      </c>
      <c r="F102" s="64">
        <f>ROUND(((+$F$483*$B$58)+$F$483),-3)</f>
        <v>4618000</v>
      </c>
      <c r="G102" s="64">
        <f>ROUND(((+$G$483*$B$58)+$G$483),-3)</f>
        <v>3374000</v>
      </c>
      <c r="H102" s="64">
        <f>ROUND(((+$H$483*$B$58)+$H$483),-3)</f>
        <v>4650000</v>
      </c>
      <c r="I102" s="64">
        <f>ROUND(((+$I$483*$B$58)+$I$483),-3)</f>
        <v>4620000</v>
      </c>
      <c r="J102" s="64">
        <f>ROUND(((+$J$483*$B$58)+$J$483),-3)</f>
        <v>5703000</v>
      </c>
      <c r="K102" s="64">
        <f>ROUND(((+$K$483*$B$58)+$K$483),-3)</f>
        <v>2631000</v>
      </c>
      <c r="L102" s="64">
        <f>ROUND(((+$L$483*$B$58)+$L$483),-3)</f>
        <v>3380000</v>
      </c>
      <c r="M102" s="64">
        <f>ROUND(((+$M$483*$B$58)+$M$483),-3)</f>
        <v>3380000</v>
      </c>
      <c r="N102" s="64">
        <f>ROUND(((+$N$483*$B$58)+$N$483),-3)</f>
        <v>3380000</v>
      </c>
      <c r="O102" s="259">
        <f t="shared" si="77"/>
        <v>54921000</v>
      </c>
      <c r="P102" s="50">
        <f t="shared" si="80"/>
        <v>0.07001209898242182</v>
      </c>
    </row>
    <row r="103" spans="1:16" ht="15">
      <c r="A103" s="164" t="s">
        <v>287</v>
      </c>
      <c r="B103" s="261">
        <f>+O484</f>
        <v>452836</v>
      </c>
      <c r="C103" s="64">
        <f aca="true" t="shared" si="82" ref="C103:N103">ROUND(((+C484*$B$58)+C484),-3)</f>
        <v>7000</v>
      </c>
      <c r="D103" s="64">
        <f t="shared" si="82"/>
        <v>31000</v>
      </c>
      <c r="E103" s="64">
        <f t="shared" si="82"/>
        <v>63000</v>
      </c>
      <c r="F103" s="64">
        <f t="shared" si="82"/>
        <v>54000</v>
      </c>
      <c r="G103" s="64">
        <f t="shared" si="82"/>
        <v>8000</v>
      </c>
      <c r="H103" s="64">
        <f t="shared" si="82"/>
        <v>11000</v>
      </c>
      <c r="I103" s="64">
        <f t="shared" si="82"/>
        <v>11000</v>
      </c>
      <c r="J103" s="64">
        <f t="shared" si="82"/>
        <v>157000</v>
      </c>
      <c r="K103" s="64">
        <f t="shared" si="82"/>
        <v>67000</v>
      </c>
      <c r="L103" s="64">
        <f t="shared" si="82"/>
        <v>25000</v>
      </c>
      <c r="M103" s="64">
        <f t="shared" si="82"/>
        <v>25000</v>
      </c>
      <c r="N103" s="64">
        <f t="shared" si="82"/>
        <v>25000</v>
      </c>
      <c r="O103" s="259">
        <f t="shared" si="77"/>
        <v>484000</v>
      </c>
      <c r="P103" s="50">
        <f aca="true" t="shared" si="83" ref="P103:P104">+(O103-B103)/B103</f>
        <v>0.06881961681491754</v>
      </c>
    </row>
    <row r="104" spans="1:16" ht="15">
      <c r="A104" s="29" t="s">
        <v>7</v>
      </c>
      <c r="B104" s="268">
        <f>+B105+B111+B119</f>
        <v>86384660</v>
      </c>
      <c r="C104" s="60">
        <f>+C105+C111+C119</f>
        <v>8990666.666666666</v>
      </c>
      <c r="D104" s="60">
        <f aca="true" t="shared" si="84" ref="D104:O104">+D105+D111+D119</f>
        <v>9003166.666666666</v>
      </c>
      <c r="E104" s="60">
        <f t="shared" si="84"/>
        <v>9037666.666666666</v>
      </c>
      <c r="F104" s="60">
        <f t="shared" si="84"/>
        <v>9781166.666666666</v>
      </c>
      <c r="G104" s="60">
        <f t="shared" si="84"/>
        <v>8990666.666666666</v>
      </c>
      <c r="H104" s="60">
        <f t="shared" si="84"/>
        <v>9003166.666666666</v>
      </c>
      <c r="I104" s="60">
        <f t="shared" si="84"/>
        <v>8990666.666666666</v>
      </c>
      <c r="J104" s="60">
        <f t="shared" si="84"/>
        <v>9003166.666666666</v>
      </c>
      <c r="K104" s="60">
        <f t="shared" si="84"/>
        <v>9140666.666666666</v>
      </c>
      <c r="L104" s="60">
        <f t="shared" si="84"/>
        <v>9153166.666666666</v>
      </c>
      <c r="M104" s="60">
        <f t="shared" si="84"/>
        <v>8990666.666666666</v>
      </c>
      <c r="N104" s="60">
        <f t="shared" si="84"/>
        <v>9003166.666666666</v>
      </c>
      <c r="O104" s="268">
        <f t="shared" si="84"/>
        <v>109088000</v>
      </c>
      <c r="P104" s="50">
        <f t="shared" si="83"/>
        <v>0.26281680103851773</v>
      </c>
    </row>
    <row r="105" spans="1:16" ht="15">
      <c r="A105" s="29" t="s">
        <v>8</v>
      </c>
      <c r="B105" s="260">
        <f aca="true" t="shared" si="85" ref="B105:O105">SUM(B106:B110)</f>
        <v>23835424</v>
      </c>
      <c r="C105" s="51">
        <f t="shared" si="85"/>
        <v>2438416.6666666665</v>
      </c>
      <c r="D105" s="51">
        <f t="shared" si="85"/>
        <v>2438416.6666666665</v>
      </c>
      <c r="E105" s="51">
        <f t="shared" si="85"/>
        <v>2438416.6666666665</v>
      </c>
      <c r="F105" s="51">
        <f t="shared" si="85"/>
        <v>2438416.6666666665</v>
      </c>
      <c r="G105" s="51">
        <f t="shared" si="85"/>
        <v>2438416.6666666665</v>
      </c>
      <c r="H105" s="51">
        <f t="shared" si="85"/>
        <v>2438416.6666666665</v>
      </c>
      <c r="I105" s="51">
        <f t="shared" si="85"/>
        <v>2438416.6666666665</v>
      </c>
      <c r="J105" s="51">
        <f t="shared" si="85"/>
        <v>2438416.6666666665</v>
      </c>
      <c r="K105" s="51">
        <f t="shared" si="85"/>
        <v>2588416.6666666665</v>
      </c>
      <c r="L105" s="51">
        <f t="shared" si="85"/>
        <v>2588416.6666666665</v>
      </c>
      <c r="M105" s="51">
        <f t="shared" si="85"/>
        <v>2438416.6666666665</v>
      </c>
      <c r="N105" s="51">
        <f t="shared" si="85"/>
        <v>2438416.6666666665</v>
      </c>
      <c r="O105" s="260">
        <f t="shared" si="85"/>
        <v>29561000</v>
      </c>
      <c r="P105" s="50">
        <f aca="true" t="shared" si="86" ref="P105:P112">+(O105-B105)/B105</f>
        <v>0.24021288650036182</v>
      </c>
    </row>
    <row r="106" spans="1:16" ht="15">
      <c r="A106" s="163" t="s">
        <v>9</v>
      </c>
      <c r="B106" s="258">
        <v>8632000</v>
      </c>
      <c r="C106" s="64">
        <f aca="true" t="shared" si="87" ref="C106:N106">ROUND(((+$B$106*$B$58)+$B$106),-3)/12</f>
        <v>769666.6666666666</v>
      </c>
      <c r="D106" s="64">
        <f t="shared" si="87"/>
        <v>769666.6666666666</v>
      </c>
      <c r="E106" s="64">
        <f t="shared" si="87"/>
        <v>769666.6666666666</v>
      </c>
      <c r="F106" s="64">
        <f t="shared" si="87"/>
        <v>769666.6666666666</v>
      </c>
      <c r="G106" s="64">
        <f t="shared" si="87"/>
        <v>769666.6666666666</v>
      </c>
      <c r="H106" s="64">
        <f t="shared" si="87"/>
        <v>769666.6666666666</v>
      </c>
      <c r="I106" s="64">
        <f t="shared" si="87"/>
        <v>769666.6666666666</v>
      </c>
      <c r="J106" s="64">
        <f t="shared" si="87"/>
        <v>769666.6666666666</v>
      </c>
      <c r="K106" s="64">
        <f t="shared" si="87"/>
        <v>769666.6666666666</v>
      </c>
      <c r="L106" s="64">
        <f t="shared" si="87"/>
        <v>769666.6666666666</v>
      </c>
      <c r="M106" s="64">
        <f t="shared" si="87"/>
        <v>769666.6666666666</v>
      </c>
      <c r="N106" s="64">
        <f t="shared" si="87"/>
        <v>769666.6666666666</v>
      </c>
      <c r="O106" s="259">
        <f aca="true" t="shared" si="88" ref="O106:O118">SUM(C106:N106)</f>
        <v>9236000</v>
      </c>
      <c r="P106" s="50">
        <f t="shared" si="86"/>
        <v>0.06997219647822057</v>
      </c>
    </row>
    <row r="107" spans="1:16" ht="15">
      <c r="A107" s="163" t="s">
        <v>288</v>
      </c>
      <c r="B107" s="258">
        <v>2009000</v>
      </c>
      <c r="C107" s="64">
        <f aca="true" t="shared" si="89" ref="C107:N107">ROUND(((+$B$107*$B$58)+$B$107),-3)/12</f>
        <v>179166.66666666666</v>
      </c>
      <c r="D107" s="64">
        <f t="shared" si="89"/>
        <v>179166.66666666666</v>
      </c>
      <c r="E107" s="64">
        <f t="shared" si="89"/>
        <v>179166.66666666666</v>
      </c>
      <c r="F107" s="64">
        <f t="shared" si="89"/>
        <v>179166.66666666666</v>
      </c>
      <c r="G107" s="64">
        <f t="shared" si="89"/>
        <v>179166.66666666666</v>
      </c>
      <c r="H107" s="64">
        <f t="shared" si="89"/>
        <v>179166.66666666666</v>
      </c>
      <c r="I107" s="64">
        <f t="shared" si="89"/>
        <v>179166.66666666666</v>
      </c>
      <c r="J107" s="64">
        <f t="shared" si="89"/>
        <v>179166.66666666666</v>
      </c>
      <c r="K107" s="64">
        <f t="shared" si="89"/>
        <v>179166.66666666666</v>
      </c>
      <c r="L107" s="64">
        <f t="shared" si="89"/>
        <v>179166.66666666666</v>
      </c>
      <c r="M107" s="64">
        <f t="shared" si="89"/>
        <v>179166.66666666666</v>
      </c>
      <c r="N107" s="64">
        <f t="shared" si="89"/>
        <v>179166.66666666666</v>
      </c>
      <c r="O107" s="259">
        <f t="shared" si="88"/>
        <v>2150000.0000000005</v>
      </c>
      <c r="P107" s="50">
        <f t="shared" si="86"/>
        <v>0.07018417122946763</v>
      </c>
    </row>
    <row r="108" spans="1:16" ht="15">
      <c r="A108" s="163" t="s">
        <v>10</v>
      </c>
      <c r="B108" s="258">
        <v>5461200</v>
      </c>
      <c r="C108" s="64">
        <v>800000</v>
      </c>
      <c r="D108" s="64">
        <v>800000</v>
      </c>
      <c r="E108" s="64">
        <v>800000</v>
      </c>
      <c r="F108" s="64">
        <v>800000</v>
      </c>
      <c r="G108" s="64">
        <v>800000</v>
      </c>
      <c r="H108" s="64">
        <v>800000</v>
      </c>
      <c r="I108" s="64">
        <v>800000</v>
      </c>
      <c r="J108" s="64">
        <v>800000</v>
      </c>
      <c r="K108" s="64">
        <v>800000</v>
      </c>
      <c r="L108" s="64">
        <v>800000</v>
      </c>
      <c r="M108" s="64">
        <v>800000</v>
      </c>
      <c r="N108" s="64">
        <v>800000</v>
      </c>
      <c r="O108" s="259">
        <f t="shared" si="88"/>
        <v>9600000</v>
      </c>
      <c r="P108" s="50">
        <f t="shared" si="86"/>
        <v>0.7578554163920017</v>
      </c>
    </row>
    <row r="109" spans="1:16" ht="15">
      <c r="A109" s="291" t="s">
        <v>533</v>
      </c>
      <c r="B109" s="258">
        <v>0</v>
      </c>
      <c r="C109" s="64"/>
      <c r="D109" s="64"/>
      <c r="E109" s="64"/>
      <c r="F109" s="64"/>
      <c r="G109" s="64"/>
      <c r="H109" s="64"/>
      <c r="I109" s="64"/>
      <c r="J109" s="64"/>
      <c r="K109" s="64">
        <v>150000</v>
      </c>
      <c r="L109" s="64">
        <v>150000</v>
      </c>
      <c r="M109" s="64"/>
      <c r="N109" s="64">
        <v>0</v>
      </c>
      <c r="O109" s="259">
        <f t="shared" si="88"/>
        <v>300000</v>
      </c>
      <c r="P109" s="50">
        <v>1</v>
      </c>
    </row>
    <row r="110" spans="1:16" ht="15">
      <c r="A110" s="163" t="s">
        <v>478</v>
      </c>
      <c r="B110" s="258">
        <v>7733224</v>
      </c>
      <c r="C110" s="64">
        <f aca="true" t="shared" si="90" ref="C110:N110">ROUND(((+$B$110*$B$58)+$B$110),-3)/12</f>
        <v>689583.3333333334</v>
      </c>
      <c r="D110" s="64">
        <f t="shared" si="90"/>
        <v>689583.3333333334</v>
      </c>
      <c r="E110" s="64">
        <f t="shared" si="90"/>
        <v>689583.3333333334</v>
      </c>
      <c r="F110" s="64">
        <f t="shared" si="90"/>
        <v>689583.3333333334</v>
      </c>
      <c r="G110" s="64">
        <f t="shared" si="90"/>
        <v>689583.3333333334</v>
      </c>
      <c r="H110" s="64">
        <f t="shared" si="90"/>
        <v>689583.3333333334</v>
      </c>
      <c r="I110" s="64">
        <f t="shared" si="90"/>
        <v>689583.3333333334</v>
      </c>
      <c r="J110" s="64">
        <f t="shared" si="90"/>
        <v>689583.3333333334</v>
      </c>
      <c r="K110" s="64">
        <f t="shared" si="90"/>
        <v>689583.3333333334</v>
      </c>
      <c r="L110" s="64">
        <f t="shared" si="90"/>
        <v>689583.3333333334</v>
      </c>
      <c r="M110" s="64">
        <f t="shared" si="90"/>
        <v>689583.3333333334</v>
      </c>
      <c r="N110" s="64">
        <f t="shared" si="90"/>
        <v>689583.3333333334</v>
      </c>
      <c r="O110" s="259">
        <f t="shared" si="88"/>
        <v>8274999.999999999</v>
      </c>
      <c r="P110" s="50">
        <f t="shared" si="86"/>
        <v>0.07005823185776063</v>
      </c>
    </row>
    <row r="111" spans="1:16" ht="15">
      <c r="A111" s="29" t="s">
        <v>541</v>
      </c>
      <c r="B111" s="260">
        <f>SUM(B112:B118)</f>
        <v>62479236</v>
      </c>
      <c r="C111" s="30">
        <f>SUM(C112:C118)</f>
        <v>6552250</v>
      </c>
      <c r="D111" s="30">
        <f aca="true" t="shared" si="91" ref="D111:O111">SUM(D112:D118)</f>
        <v>6552250</v>
      </c>
      <c r="E111" s="30">
        <f t="shared" si="91"/>
        <v>6599250</v>
      </c>
      <c r="F111" s="30">
        <f t="shared" si="91"/>
        <v>7330250</v>
      </c>
      <c r="G111" s="30">
        <f t="shared" si="91"/>
        <v>6552250</v>
      </c>
      <c r="H111" s="30">
        <f t="shared" si="91"/>
        <v>6552250</v>
      </c>
      <c r="I111" s="30">
        <f t="shared" si="91"/>
        <v>6552250</v>
      </c>
      <c r="J111" s="30">
        <f t="shared" si="91"/>
        <v>6552250</v>
      </c>
      <c r="K111" s="30">
        <f t="shared" si="91"/>
        <v>6552250</v>
      </c>
      <c r="L111" s="30">
        <f t="shared" si="91"/>
        <v>6552250</v>
      </c>
      <c r="M111" s="30">
        <f t="shared" si="91"/>
        <v>6552250</v>
      </c>
      <c r="N111" s="30">
        <f t="shared" si="91"/>
        <v>6552250</v>
      </c>
      <c r="O111" s="260">
        <f t="shared" si="91"/>
        <v>79452000</v>
      </c>
      <c r="P111" s="50">
        <f t="shared" si="86"/>
        <v>0.27165447413601534</v>
      </c>
    </row>
    <row r="112" spans="1:16" ht="15">
      <c r="A112" s="163" t="s">
        <v>409</v>
      </c>
      <c r="B112" s="258">
        <v>37200000</v>
      </c>
      <c r="C112" s="64">
        <f aca="true" t="shared" si="92" ref="C112:N112">ROUND(((+$B$112*$B$58)+$B$112),-3)/12</f>
        <v>3317000</v>
      </c>
      <c r="D112" s="64">
        <f t="shared" si="92"/>
        <v>3317000</v>
      </c>
      <c r="E112" s="64">
        <f t="shared" si="92"/>
        <v>3317000</v>
      </c>
      <c r="F112" s="64">
        <f t="shared" si="92"/>
        <v>3317000</v>
      </c>
      <c r="G112" s="64">
        <f t="shared" si="92"/>
        <v>3317000</v>
      </c>
      <c r="H112" s="64">
        <f t="shared" si="92"/>
        <v>3317000</v>
      </c>
      <c r="I112" s="64">
        <f t="shared" si="92"/>
        <v>3317000</v>
      </c>
      <c r="J112" s="64">
        <f t="shared" si="92"/>
        <v>3317000</v>
      </c>
      <c r="K112" s="64">
        <f t="shared" si="92"/>
        <v>3317000</v>
      </c>
      <c r="L112" s="64">
        <f t="shared" si="92"/>
        <v>3317000</v>
      </c>
      <c r="M112" s="64">
        <f t="shared" si="92"/>
        <v>3317000</v>
      </c>
      <c r="N112" s="64">
        <f t="shared" si="92"/>
        <v>3317000</v>
      </c>
      <c r="O112" s="259">
        <f t="shared" si="88"/>
        <v>39804000</v>
      </c>
      <c r="P112" s="50">
        <f t="shared" si="86"/>
        <v>0.07</v>
      </c>
    </row>
    <row r="113" spans="1:16" ht="15">
      <c r="A113" s="163" t="s">
        <v>289</v>
      </c>
      <c r="B113" s="258">
        <v>10320000</v>
      </c>
      <c r="C113" s="64">
        <f aca="true" t="shared" si="93" ref="C113:N113">ROUND(((+$B$113*$B$58)+$B$113),-3)/12</f>
        <v>920166.6666666666</v>
      </c>
      <c r="D113" s="64">
        <f t="shared" si="93"/>
        <v>920166.6666666666</v>
      </c>
      <c r="E113" s="64">
        <f t="shared" si="93"/>
        <v>920166.6666666666</v>
      </c>
      <c r="F113" s="64">
        <f t="shared" si="93"/>
        <v>920166.6666666666</v>
      </c>
      <c r="G113" s="64">
        <f t="shared" si="93"/>
        <v>920166.6666666666</v>
      </c>
      <c r="H113" s="64">
        <f t="shared" si="93"/>
        <v>920166.6666666666</v>
      </c>
      <c r="I113" s="64">
        <f t="shared" si="93"/>
        <v>920166.6666666666</v>
      </c>
      <c r="J113" s="64">
        <f t="shared" si="93"/>
        <v>920166.6666666666</v>
      </c>
      <c r="K113" s="64">
        <f t="shared" si="93"/>
        <v>920166.6666666666</v>
      </c>
      <c r="L113" s="64">
        <f t="shared" si="93"/>
        <v>920166.6666666666</v>
      </c>
      <c r="M113" s="64">
        <f t="shared" si="93"/>
        <v>920166.6666666666</v>
      </c>
      <c r="N113" s="64">
        <f t="shared" si="93"/>
        <v>920166.6666666666</v>
      </c>
      <c r="O113" s="259">
        <f t="shared" si="88"/>
        <v>11042000</v>
      </c>
      <c r="P113" s="50">
        <f aca="true" t="shared" si="94" ref="P113">+(O113-B113)/B113</f>
        <v>0.06996124031007751</v>
      </c>
    </row>
    <row r="114" spans="1:16" ht="15">
      <c r="A114" s="295" t="s">
        <v>512</v>
      </c>
      <c r="B114" s="258">
        <v>726724</v>
      </c>
      <c r="C114" s="64">
        <v>0</v>
      </c>
      <c r="D114" s="64">
        <v>0</v>
      </c>
      <c r="E114" s="64">
        <v>0</v>
      </c>
      <c r="F114" s="64">
        <f>ROUND(((+$B$114*$B$58)+$B$114),-3)</f>
        <v>778000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259">
        <f aca="true" t="shared" si="95" ref="O114">SUM(C114:N114)</f>
        <v>778000</v>
      </c>
      <c r="P114" s="50">
        <f aca="true" t="shared" si="96" ref="P114">+(O114-B114)/B114</f>
        <v>0.07055773581166991</v>
      </c>
    </row>
    <row r="115" spans="1:16" ht="15">
      <c r="A115" s="295" t="s">
        <v>844</v>
      </c>
      <c r="B115" s="258">
        <v>0</v>
      </c>
      <c r="C115" s="64">
        <v>1050000</v>
      </c>
      <c r="D115" s="64">
        <v>1050000</v>
      </c>
      <c r="E115" s="64">
        <v>1050000</v>
      </c>
      <c r="F115" s="64">
        <v>1050000</v>
      </c>
      <c r="G115" s="64">
        <v>1050000</v>
      </c>
      <c r="H115" s="64">
        <v>1050000</v>
      </c>
      <c r="I115" s="64">
        <v>1050000</v>
      </c>
      <c r="J115" s="64">
        <v>1050000</v>
      </c>
      <c r="K115" s="64">
        <v>1050000</v>
      </c>
      <c r="L115" s="64">
        <v>1050000</v>
      </c>
      <c r="M115" s="64">
        <v>1050000</v>
      </c>
      <c r="N115" s="64">
        <v>1050000</v>
      </c>
      <c r="O115" s="259">
        <f aca="true" t="shared" si="97" ref="O115">SUM(C115:N115)</f>
        <v>12600000</v>
      </c>
      <c r="P115" s="50">
        <v>1</v>
      </c>
    </row>
    <row r="116" spans="1:16" ht="15">
      <c r="A116" s="163" t="s">
        <v>253</v>
      </c>
      <c r="B116" s="258">
        <v>44000</v>
      </c>
      <c r="C116" s="51">
        <v>0</v>
      </c>
      <c r="D116" s="51"/>
      <c r="E116" s="64">
        <f>ROUND(((+$B$116*$B$58)+$B$116),-3)</f>
        <v>47000</v>
      </c>
      <c r="F116" s="51"/>
      <c r="G116" s="51"/>
      <c r="H116" s="51"/>
      <c r="I116" s="51"/>
      <c r="J116" s="51"/>
      <c r="K116" s="51"/>
      <c r="L116" s="51"/>
      <c r="M116" s="51"/>
      <c r="N116" s="51"/>
      <c r="O116" s="259">
        <f t="shared" si="88"/>
        <v>47000</v>
      </c>
      <c r="P116" s="50">
        <f aca="true" t="shared" si="98" ref="P116:P121">+(O116-B116)/B116</f>
        <v>0.06818181818181818</v>
      </c>
    </row>
    <row r="117" spans="1:16" ht="15">
      <c r="A117" s="163" t="s">
        <v>479</v>
      </c>
      <c r="B117" s="258">
        <v>2061924</v>
      </c>
      <c r="C117" s="64">
        <f aca="true" t="shared" si="99" ref="C117:N117">ROUND(((+$B$117*$B$58)+$B$117),-3)/12</f>
        <v>183833.33333333334</v>
      </c>
      <c r="D117" s="64">
        <f t="shared" si="99"/>
        <v>183833.33333333334</v>
      </c>
      <c r="E117" s="64">
        <f t="shared" si="99"/>
        <v>183833.33333333334</v>
      </c>
      <c r="F117" s="64">
        <f t="shared" si="99"/>
        <v>183833.33333333334</v>
      </c>
      <c r="G117" s="64">
        <f t="shared" si="99"/>
        <v>183833.33333333334</v>
      </c>
      <c r="H117" s="64">
        <f t="shared" si="99"/>
        <v>183833.33333333334</v>
      </c>
      <c r="I117" s="64">
        <f t="shared" si="99"/>
        <v>183833.33333333334</v>
      </c>
      <c r="J117" s="64">
        <f t="shared" si="99"/>
        <v>183833.33333333334</v>
      </c>
      <c r="K117" s="64">
        <f t="shared" si="99"/>
        <v>183833.33333333334</v>
      </c>
      <c r="L117" s="64">
        <f t="shared" si="99"/>
        <v>183833.33333333334</v>
      </c>
      <c r="M117" s="64">
        <f t="shared" si="99"/>
        <v>183833.33333333334</v>
      </c>
      <c r="N117" s="64">
        <f t="shared" si="99"/>
        <v>183833.33333333334</v>
      </c>
      <c r="O117" s="259">
        <f t="shared" si="88"/>
        <v>2205999.9999999995</v>
      </c>
      <c r="P117" s="50">
        <f t="shared" si="98"/>
        <v>0.06987454435759977</v>
      </c>
    </row>
    <row r="118" spans="1:16" ht="15">
      <c r="A118" s="163" t="s">
        <v>480</v>
      </c>
      <c r="B118" s="258">
        <v>12126588</v>
      </c>
      <c r="C118" s="64">
        <f aca="true" t="shared" si="100" ref="C118:N118">ROUND(((+$B$118*$B$58)+$B$118),-3)/12</f>
        <v>1081250</v>
      </c>
      <c r="D118" s="64">
        <f t="shared" si="100"/>
        <v>1081250</v>
      </c>
      <c r="E118" s="64">
        <f t="shared" si="100"/>
        <v>1081250</v>
      </c>
      <c r="F118" s="64">
        <f t="shared" si="100"/>
        <v>1081250</v>
      </c>
      <c r="G118" s="64">
        <f t="shared" si="100"/>
        <v>1081250</v>
      </c>
      <c r="H118" s="64">
        <f t="shared" si="100"/>
        <v>1081250</v>
      </c>
      <c r="I118" s="64">
        <f t="shared" si="100"/>
        <v>1081250</v>
      </c>
      <c r="J118" s="64">
        <f t="shared" si="100"/>
        <v>1081250</v>
      </c>
      <c r="K118" s="64">
        <f t="shared" si="100"/>
        <v>1081250</v>
      </c>
      <c r="L118" s="64">
        <f t="shared" si="100"/>
        <v>1081250</v>
      </c>
      <c r="M118" s="64">
        <f t="shared" si="100"/>
        <v>1081250</v>
      </c>
      <c r="N118" s="64">
        <f t="shared" si="100"/>
        <v>1081250</v>
      </c>
      <c r="O118" s="259">
        <f t="shared" si="88"/>
        <v>12975000</v>
      </c>
      <c r="P118" s="50">
        <f t="shared" si="98"/>
        <v>0.06996296072728785</v>
      </c>
    </row>
    <row r="119" spans="1:16" ht="15">
      <c r="A119" s="29" t="s">
        <v>12</v>
      </c>
      <c r="B119" s="260">
        <v>70000</v>
      </c>
      <c r="C119" s="51"/>
      <c r="D119" s="64">
        <f>ROUND(((+$B$119*$B$58)+$B$119),-3)/6</f>
        <v>12500</v>
      </c>
      <c r="E119" s="59"/>
      <c r="F119" s="64">
        <f>ROUND(((+$B$119*$B$58)+$B$119),-3)/6</f>
        <v>12500</v>
      </c>
      <c r="G119" s="59"/>
      <c r="H119" s="64">
        <f>ROUND(((+$B$119*$B$58)+$B$119),-3)/6</f>
        <v>12500</v>
      </c>
      <c r="I119" s="59"/>
      <c r="J119" s="64">
        <f>ROUND(((+$B$119*$B$58)+$B$119),-3)/6</f>
        <v>12500</v>
      </c>
      <c r="K119" s="59"/>
      <c r="L119" s="64">
        <f>ROUND(((+$B$119*$B$58)+$B$119),-3)/6</f>
        <v>12500</v>
      </c>
      <c r="M119" s="59"/>
      <c r="N119" s="64">
        <f>ROUND(((+$B$119*$B$58)+$B$119),-3)/6</f>
        <v>12500</v>
      </c>
      <c r="O119" s="262">
        <f aca="true" t="shared" si="101" ref="O119">SUM(C119:N119)</f>
        <v>75000</v>
      </c>
      <c r="P119" s="50">
        <f t="shared" si="98"/>
        <v>0.07142857142857142</v>
      </c>
    </row>
    <row r="120" spans="1:16" s="31" customFormat="1" ht="15">
      <c r="A120" s="29" t="s">
        <v>119</v>
      </c>
      <c r="B120" s="260">
        <f aca="true" t="shared" si="102" ref="B120:O120">+B121+B136</f>
        <v>98515402</v>
      </c>
      <c r="C120" s="30">
        <f t="shared" si="102"/>
        <v>4442000</v>
      </c>
      <c r="D120" s="30">
        <f t="shared" si="102"/>
        <v>13652000</v>
      </c>
      <c r="E120" s="30">
        <f t="shared" si="102"/>
        <v>24553610.15156912</v>
      </c>
      <c r="F120" s="30">
        <f t="shared" si="102"/>
        <v>4442000</v>
      </c>
      <c r="G120" s="30">
        <f t="shared" si="102"/>
        <v>10680000</v>
      </c>
      <c r="H120" s="30">
        <f t="shared" si="102"/>
        <v>8279610.1515691215</v>
      </c>
      <c r="I120" s="30">
        <f t="shared" si="102"/>
        <v>13944000</v>
      </c>
      <c r="J120" s="30">
        <f t="shared" si="102"/>
        <v>3349000</v>
      </c>
      <c r="K120" s="30">
        <f t="shared" si="102"/>
        <v>15384610.15156912</v>
      </c>
      <c r="L120" s="30">
        <f t="shared" si="102"/>
        <v>13516000</v>
      </c>
      <c r="M120" s="30">
        <f t="shared" si="102"/>
        <v>0</v>
      </c>
      <c r="N120" s="30">
        <f t="shared" si="102"/>
        <v>0</v>
      </c>
      <c r="O120" s="260">
        <f t="shared" si="102"/>
        <v>112242830.45470737</v>
      </c>
      <c r="P120" s="50">
        <f t="shared" si="98"/>
        <v>0.13934296745505204</v>
      </c>
    </row>
    <row r="121" spans="1:16" ht="15">
      <c r="A121" s="163" t="s">
        <v>435</v>
      </c>
      <c r="B121" s="258">
        <f>+B122+B123+B134+B135</f>
        <v>81402802</v>
      </c>
      <c r="C121" s="51">
        <f>+C122+C123+C134+C135</f>
        <v>0</v>
      </c>
      <c r="D121" s="51">
        <f aca="true" t="shared" si="103" ref="D121:O121">+D122+D123+D134+D135</f>
        <v>13111000</v>
      </c>
      <c r="E121" s="51">
        <f t="shared" si="103"/>
        <v>24553610.15156912</v>
      </c>
      <c r="F121" s="51">
        <f t="shared" si="103"/>
        <v>0</v>
      </c>
      <c r="G121" s="51">
        <f t="shared" si="103"/>
        <v>10680000</v>
      </c>
      <c r="H121" s="51">
        <f t="shared" si="103"/>
        <v>8279610.1515691215</v>
      </c>
      <c r="I121" s="51">
        <f t="shared" si="103"/>
        <v>9502000</v>
      </c>
      <c r="J121" s="51">
        <f t="shared" si="103"/>
        <v>3349000</v>
      </c>
      <c r="K121" s="51">
        <f t="shared" si="103"/>
        <v>15384610.15156912</v>
      </c>
      <c r="L121" s="51">
        <f t="shared" si="103"/>
        <v>9074000</v>
      </c>
      <c r="M121" s="51">
        <f t="shared" si="103"/>
        <v>0</v>
      </c>
      <c r="N121" s="51">
        <f t="shared" si="103"/>
        <v>0</v>
      </c>
      <c r="O121" s="258">
        <f t="shared" si="103"/>
        <v>93933830.45470737</v>
      </c>
      <c r="P121" s="50">
        <f t="shared" si="98"/>
        <v>0.1539385395444664</v>
      </c>
    </row>
    <row r="122" spans="1:16" ht="15">
      <c r="A122" s="163" t="s">
        <v>122</v>
      </c>
      <c r="B122" s="258">
        <v>21035052</v>
      </c>
      <c r="C122" s="51"/>
      <c r="D122" s="59"/>
      <c r="E122" s="64">
        <f>(+$O$7*1%)/3</f>
        <v>8279610.1515691215</v>
      </c>
      <c r="F122" s="59"/>
      <c r="G122" s="59"/>
      <c r="H122" s="64">
        <f>(+$O$7*1%)/3</f>
        <v>8279610.1515691215</v>
      </c>
      <c r="I122" s="59"/>
      <c r="J122" s="59"/>
      <c r="K122" s="64">
        <f>(+$O$7*1%)/3</f>
        <v>8279610.1515691215</v>
      </c>
      <c r="L122" s="59"/>
      <c r="M122" s="59"/>
      <c r="N122" s="59"/>
      <c r="O122" s="259">
        <f aca="true" t="shared" si="104" ref="O122:O152">SUM(C122:N122)</f>
        <v>24838830.454707365</v>
      </c>
      <c r="P122" s="50">
        <f aca="true" t="shared" si="105" ref="P122:P123">+(O122-B122)/B122</f>
        <v>0.18083047547053202</v>
      </c>
    </row>
    <row r="123" spans="1:16" ht="15">
      <c r="A123" s="163" t="s">
        <v>123</v>
      </c>
      <c r="B123" s="258">
        <f>SUM(B124:B133)</f>
        <v>51304331</v>
      </c>
      <c r="C123" s="51">
        <f>SUM(C124:C133)</f>
        <v>0</v>
      </c>
      <c r="D123" s="51">
        <f aca="true" t="shared" si="106" ref="D123:O123">SUM(D124:D133)</f>
        <v>8611000</v>
      </c>
      <c r="E123" s="51">
        <f t="shared" si="106"/>
        <v>16274000</v>
      </c>
      <c r="F123" s="51">
        <f t="shared" si="106"/>
        <v>0</v>
      </c>
      <c r="G123" s="51">
        <f t="shared" si="106"/>
        <v>4331000</v>
      </c>
      <c r="H123" s="51">
        <f t="shared" si="106"/>
        <v>0</v>
      </c>
      <c r="I123" s="51">
        <f t="shared" si="106"/>
        <v>9502000</v>
      </c>
      <c r="J123" s="51">
        <f t="shared" si="106"/>
        <v>0</v>
      </c>
      <c r="K123" s="51">
        <f t="shared" si="106"/>
        <v>7105000</v>
      </c>
      <c r="L123" s="51">
        <f t="shared" si="106"/>
        <v>9074000</v>
      </c>
      <c r="M123" s="51">
        <f t="shared" si="106"/>
        <v>0</v>
      </c>
      <c r="N123" s="51">
        <f t="shared" si="106"/>
        <v>0</v>
      </c>
      <c r="O123" s="258">
        <f t="shared" si="106"/>
        <v>54897000</v>
      </c>
      <c r="P123" s="50">
        <f t="shared" si="105"/>
        <v>0.07002662211890065</v>
      </c>
    </row>
    <row r="124" spans="1:16" ht="15">
      <c r="A124" s="163" t="s">
        <v>124</v>
      </c>
      <c r="B124" s="258">
        <v>6640000</v>
      </c>
      <c r="C124" s="51"/>
      <c r="D124" s="59"/>
      <c r="E124" s="59"/>
      <c r="F124" s="59"/>
      <c r="G124" s="64">
        <v>0</v>
      </c>
      <c r="H124" s="59"/>
      <c r="I124" s="64">
        <v>0</v>
      </c>
      <c r="J124" s="59"/>
      <c r="K124" s="51">
        <f>ROUND(((+$B$124*$B$58)+$B$124),-3)</f>
        <v>7105000</v>
      </c>
      <c r="L124" s="59"/>
      <c r="M124" s="51"/>
      <c r="N124" s="59"/>
      <c r="O124" s="258">
        <f t="shared" si="104"/>
        <v>7105000</v>
      </c>
      <c r="P124" s="50">
        <f aca="true" t="shared" si="107" ref="P124:P132">+(O124-B124)/B124</f>
        <v>0.07003012048192771</v>
      </c>
    </row>
    <row r="125" spans="1:16" ht="15">
      <c r="A125" s="163" t="s">
        <v>225</v>
      </c>
      <c r="B125" s="258">
        <v>25440000</v>
      </c>
      <c r="C125" s="51"/>
      <c r="D125" s="64">
        <v>0</v>
      </c>
      <c r="E125" s="64">
        <f>ROUND((((+$B$125*$B$58+$B$125))/3),-3)</f>
        <v>9074000</v>
      </c>
      <c r="F125" s="59"/>
      <c r="G125" s="59"/>
      <c r="H125" s="64"/>
      <c r="I125" s="64">
        <f>ROUND((((+$B$125*$B$58+$B$125))/3),-3)</f>
        <v>9074000</v>
      </c>
      <c r="J125" s="59"/>
      <c r="K125" s="59"/>
      <c r="L125" s="64">
        <f>ROUND((((+$B$125*$B$58+$B$125))/3),-3)</f>
        <v>9074000</v>
      </c>
      <c r="M125" s="59"/>
      <c r="N125" s="59"/>
      <c r="O125" s="259">
        <f t="shared" si="104"/>
        <v>27222000</v>
      </c>
      <c r="P125" s="50">
        <f t="shared" si="107"/>
        <v>0.07004716981132075</v>
      </c>
    </row>
    <row r="126" spans="1:16" ht="15">
      <c r="A126" s="163" t="s">
        <v>483</v>
      </c>
      <c r="B126" s="258">
        <v>6414655</v>
      </c>
      <c r="C126" s="51"/>
      <c r="D126" s="64"/>
      <c r="E126" s="64">
        <f>ROUND(((+$B$126*$B$58+$B$126)/1),-3)</f>
        <v>6864000</v>
      </c>
      <c r="F126" s="59"/>
      <c r="G126" s="59"/>
      <c r="H126" s="64"/>
      <c r="I126" s="64"/>
      <c r="J126" s="64"/>
      <c r="K126" s="59"/>
      <c r="L126" s="64"/>
      <c r="M126" s="59"/>
      <c r="N126" s="59"/>
      <c r="O126" s="259">
        <f t="shared" si="104"/>
        <v>6864000</v>
      </c>
      <c r="P126" s="50">
        <f t="shared" si="107"/>
        <v>0.07004975326030784</v>
      </c>
    </row>
    <row r="127" spans="1:16" ht="15">
      <c r="A127" s="163" t="s">
        <v>226</v>
      </c>
      <c r="B127" s="258">
        <v>8096076</v>
      </c>
      <c r="C127" s="51"/>
      <c r="D127" s="64">
        <f>ROUND(((+$B$127*$B$58+$B$127)/2),-3)</f>
        <v>4331000</v>
      </c>
      <c r="E127" s="51"/>
      <c r="F127" s="51"/>
      <c r="G127" s="64">
        <f>ROUND(((+$B$127*$B$58+$B$127)/2),-3)</f>
        <v>4331000</v>
      </c>
      <c r="H127" s="64"/>
      <c r="I127" s="64"/>
      <c r="J127" s="51"/>
      <c r="K127" s="51"/>
      <c r="L127" s="51"/>
      <c r="M127" s="51"/>
      <c r="N127" s="51"/>
      <c r="O127" s="259">
        <f t="shared" si="104"/>
        <v>8662000</v>
      </c>
      <c r="P127" s="50">
        <f t="shared" si="107"/>
        <v>0.06990102365639848</v>
      </c>
    </row>
    <row r="128" spans="1:16" ht="15">
      <c r="A128" s="163" t="s">
        <v>610</v>
      </c>
      <c r="B128" s="258">
        <v>4000000</v>
      </c>
      <c r="C128" s="51"/>
      <c r="D128" s="64">
        <f>ROUND(((+$B$128*$B$58+$B$128)/1),-3)</f>
        <v>4280000</v>
      </c>
      <c r="E128" s="51"/>
      <c r="F128" s="64"/>
      <c r="G128" s="64"/>
      <c r="H128" s="64"/>
      <c r="I128" s="64"/>
      <c r="J128" s="51"/>
      <c r="K128" s="51"/>
      <c r="L128" s="51"/>
      <c r="M128" s="51"/>
      <c r="N128" s="51"/>
      <c r="O128" s="259">
        <f t="shared" si="104"/>
        <v>4280000</v>
      </c>
      <c r="P128" s="50">
        <f t="shared" si="107"/>
        <v>0.07</v>
      </c>
    </row>
    <row r="129" spans="1:16" ht="15">
      <c r="A129" s="163" t="s">
        <v>482</v>
      </c>
      <c r="B129" s="258">
        <v>0</v>
      </c>
      <c r="C129" s="51"/>
      <c r="D129" s="64"/>
      <c r="E129" s="51"/>
      <c r="F129" s="51"/>
      <c r="G129" s="64"/>
      <c r="H129" s="64">
        <v>0</v>
      </c>
      <c r="I129" s="64"/>
      <c r="J129" s="51"/>
      <c r="K129" s="51"/>
      <c r="L129" s="51"/>
      <c r="M129" s="51"/>
      <c r="N129" s="51"/>
      <c r="O129" s="259">
        <f t="shared" si="104"/>
        <v>0</v>
      </c>
      <c r="P129" s="50">
        <v>0</v>
      </c>
    </row>
    <row r="130" spans="1:16" ht="15">
      <c r="A130" s="163" t="s">
        <v>484</v>
      </c>
      <c r="B130" s="258">
        <v>0</v>
      </c>
      <c r="C130" s="64"/>
      <c r="D130" s="64"/>
      <c r="E130" s="51"/>
      <c r="F130" s="51"/>
      <c r="G130" s="51"/>
      <c r="H130" s="51"/>
      <c r="I130" s="64"/>
      <c r="J130" s="51"/>
      <c r="K130" s="51"/>
      <c r="L130" s="64"/>
      <c r="M130" s="51"/>
      <c r="N130" s="64">
        <f>ROUND(((+$B$130*$B$58)+$B$130),-3)</f>
        <v>0</v>
      </c>
      <c r="O130" s="259">
        <f t="shared" si="104"/>
        <v>0</v>
      </c>
      <c r="P130" s="50">
        <v>0</v>
      </c>
    </row>
    <row r="131" spans="1:16" ht="15">
      <c r="A131" s="163" t="s">
        <v>227</v>
      </c>
      <c r="B131" s="258">
        <v>400000</v>
      </c>
      <c r="C131" s="51"/>
      <c r="D131" s="64"/>
      <c r="E131" s="51"/>
      <c r="F131" s="51"/>
      <c r="G131" s="51"/>
      <c r="H131" s="51"/>
      <c r="I131" s="64">
        <f>ROUND(((+$B$131*$B$58)+$B$131),-3)</f>
        <v>428000</v>
      </c>
      <c r="J131" s="64"/>
      <c r="K131" s="51"/>
      <c r="L131" s="51"/>
      <c r="M131" s="51"/>
      <c r="N131" s="51"/>
      <c r="O131" s="258">
        <f t="shared" si="104"/>
        <v>428000</v>
      </c>
      <c r="P131" s="50">
        <f t="shared" si="107"/>
        <v>0.07</v>
      </c>
    </row>
    <row r="132" spans="1:16" ht="15">
      <c r="A132" s="163" t="s">
        <v>434</v>
      </c>
      <c r="B132" s="258">
        <v>313600</v>
      </c>
      <c r="C132" s="51">
        <v>0</v>
      </c>
      <c r="D132" s="51">
        <v>0</v>
      </c>
      <c r="E132" s="64">
        <f>ROUND(((+$B$132*$B$58+$B$132)/1),-3)</f>
        <v>336000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259">
        <f t="shared" si="104"/>
        <v>336000</v>
      </c>
      <c r="P132" s="50">
        <f t="shared" si="107"/>
        <v>0.07142857142857142</v>
      </c>
    </row>
    <row r="133" spans="1:16" s="68" customFormat="1" ht="15">
      <c r="A133" s="296" t="s">
        <v>410</v>
      </c>
      <c r="B133" s="263">
        <v>0</v>
      </c>
      <c r="C133" s="66"/>
      <c r="D133" s="67"/>
      <c r="E133" s="66"/>
      <c r="F133" s="67"/>
      <c r="G133" s="67"/>
      <c r="H133" s="67"/>
      <c r="I133" s="66"/>
      <c r="J133" s="67"/>
      <c r="K133" s="67"/>
      <c r="L133" s="64">
        <v>0</v>
      </c>
      <c r="M133" s="66"/>
      <c r="N133" s="67"/>
      <c r="O133" s="259">
        <f aca="true" t="shared" si="108" ref="O133">SUM(C133:N133)</f>
        <v>0</v>
      </c>
      <c r="P133" s="50">
        <v>0</v>
      </c>
    </row>
    <row r="134" spans="1:16" ht="15">
      <c r="A134" s="296" t="s">
        <v>411</v>
      </c>
      <c r="B134" s="258">
        <v>3130086</v>
      </c>
      <c r="C134" s="51"/>
      <c r="D134" s="59"/>
      <c r="E134" s="51"/>
      <c r="F134" s="59"/>
      <c r="G134" s="59"/>
      <c r="H134" s="59"/>
      <c r="I134" s="51"/>
      <c r="J134" s="64">
        <f>ROUND(((+$B$134*$B$58)+$B$134),-3)</f>
        <v>3349000</v>
      </c>
      <c r="K134" s="59"/>
      <c r="L134" s="64">
        <v>0</v>
      </c>
      <c r="M134" s="51"/>
      <c r="N134" s="59"/>
      <c r="O134" s="259">
        <f t="shared" si="104"/>
        <v>3349000</v>
      </c>
      <c r="P134" s="50">
        <f aca="true" t="shared" si="109" ref="P134:P136">+(O134-B134)/B134</f>
        <v>0.06993865344274885</v>
      </c>
    </row>
    <row r="135" spans="1:16" ht="15">
      <c r="A135" s="296" t="s">
        <v>660</v>
      </c>
      <c r="B135" s="258">
        <v>5933333</v>
      </c>
      <c r="C135" s="73">
        <v>0</v>
      </c>
      <c r="D135" s="64">
        <v>4500000</v>
      </c>
      <c r="E135" s="51"/>
      <c r="F135" s="51">
        <v>0</v>
      </c>
      <c r="G135" s="64">
        <f>ROUND(((+$B$135*$B$58+$B$135)/1),-3)</f>
        <v>6349000</v>
      </c>
      <c r="H135" s="59"/>
      <c r="I135" s="51"/>
      <c r="J135" s="51">
        <v>0</v>
      </c>
      <c r="K135" s="59"/>
      <c r="L135" s="59"/>
      <c r="M135" s="51"/>
      <c r="N135" s="59"/>
      <c r="O135" s="259">
        <f t="shared" si="104"/>
        <v>10849000</v>
      </c>
      <c r="P135" s="50">
        <f t="shared" si="109"/>
        <v>0.8284832487911937</v>
      </c>
    </row>
    <row r="136" spans="1:16" ht="15">
      <c r="A136" s="29" t="s">
        <v>144</v>
      </c>
      <c r="B136" s="258">
        <f aca="true" t="shared" si="110" ref="B136:O136">SUM(B137:B139)</f>
        <v>17112600</v>
      </c>
      <c r="C136" s="51">
        <f t="shared" si="110"/>
        <v>4442000</v>
      </c>
      <c r="D136" s="51">
        <f t="shared" si="110"/>
        <v>541000</v>
      </c>
      <c r="E136" s="51">
        <f t="shared" si="110"/>
        <v>0</v>
      </c>
      <c r="F136" s="51">
        <f t="shared" si="110"/>
        <v>4442000</v>
      </c>
      <c r="G136" s="51">
        <f t="shared" si="110"/>
        <v>0</v>
      </c>
      <c r="H136" s="51">
        <f t="shared" si="110"/>
        <v>0</v>
      </c>
      <c r="I136" s="51">
        <f t="shared" si="110"/>
        <v>4442000</v>
      </c>
      <c r="J136" s="51">
        <f t="shared" si="110"/>
        <v>0</v>
      </c>
      <c r="K136" s="51">
        <f t="shared" si="110"/>
        <v>0</v>
      </c>
      <c r="L136" s="51">
        <f t="shared" si="110"/>
        <v>4442000</v>
      </c>
      <c r="M136" s="51">
        <f t="shared" si="110"/>
        <v>0</v>
      </c>
      <c r="N136" s="51">
        <f t="shared" si="110"/>
        <v>0</v>
      </c>
      <c r="O136" s="258">
        <f t="shared" si="110"/>
        <v>18309000</v>
      </c>
      <c r="P136" s="50">
        <f t="shared" si="109"/>
        <v>0.06991339714596262</v>
      </c>
    </row>
    <row r="137" spans="1:16" ht="15">
      <c r="A137" s="163" t="s">
        <v>412</v>
      </c>
      <c r="B137" s="258">
        <v>13324800</v>
      </c>
      <c r="C137" s="51">
        <f>ROUND((((+$B$137*$B$58+$B$137))/4),-3)</f>
        <v>3564000</v>
      </c>
      <c r="D137" s="51">
        <v>0</v>
      </c>
      <c r="E137" s="51">
        <v>0</v>
      </c>
      <c r="F137" s="51">
        <f>ROUND((((+$B$137*$B$58+$B$137))/4),-3)</f>
        <v>3564000</v>
      </c>
      <c r="G137" s="51">
        <v>0</v>
      </c>
      <c r="H137" s="51">
        <v>0</v>
      </c>
      <c r="I137" s="51">
        <f>ROUND((((+$B$137*$B$58+$B$137))/4),-3)</f>
        <v>3564000</v>
      </c>
      <c r="J137" s="51">
        <v>0</v>
      </c>
      <c r="K137" s="51">
        <v>0</v>
      </c>
      <c r="L137" s="51">
        <f>ROUND((((+$B$137*$B$58+$B$137))/4),-3)</f>
        <v>3564000</v>
      </c>
      <c r="M137" s="51">
        <v>0</v>
      </c>
      <c r="N137" s="51">
        <v>0</v>
      </c>
      <c r="O137" s="259">
        <f t="shared" si="104"/>
        <v>14256000</v>
      </c>
      <c r="P137" s="50">
        <f aca="true" t="shared" si="111" ref="P137:P151">+(O137-B137)/B137</f>
        <v>0.06988472622478387</v>
      </c>
    </row>
    <row r="138" spans="1:16" ht="15">
      <c r="A138" s="163" t="s">
        <v>481</v>
      </c>
      <c r="B138" s="258">
        <v>3281800</v>
      </c>
      <c r="C138" s="51">
        <f>ROUND((((+$B$138*$B$58+$B$138))/4),-3)</f>
        <v>878000</v>
      </c>
      <c r="D138" s="51"/>
      <c r="E138" s="51"/>
      <c r="F138" s="51">
        <f>ROUND((((+$B$138*$B$58+$B$138))/4),-3)</f>
        <v>878000</v>
      </c>
      <c r="G138" s="51"/>
      <c r="H138" s="51"/>
      <c r="I138" s="51">
        <f>ROUND((((+$B$138*$B$58+$B$138))/4),-3)</f>
        <v>878000</v>
      </c>
      <c r="J138" s="51"/>
      <c r="K138" s="51">
        <v>0</v>
      </c>
      <c r="L138" s="51">
        <f>ROUND((((+$B$138*$B$58+$B$138))/4),-3)</f>
        <v>878000</v>
      </c>
      <c r="M138" s="51"/>
      <c r="N138" s="51"/>
      <c r="O138" s="259">
        <f t="shared" si="104"/>
        <v>3512000</v>
      </c>
      <c r="P138" s="50">
        <f t="shared" si="111"/>
        <v>0.07014443293314644</v>
      </c>
    </row>
    <row r="139" spans="1:16" ht="15">
      <c r="A139" s="163" t="s">
        <v>413</v>
      </c>
      <c r="B139" s="258">
        <v>506000</v>
      </c>
      <c r="C139" s="51">
        <v>0</v>
      </c>
      <c r="D139" s="51">
        <f>ROUND((((+$B$139*$B$58+$B$139))),-3)</f>
        <v>541000</v>
      </c>
      <c r="E139" s="59"/>
      <c r="F139" s="59"/>
      <c r="G139" s="59"/>
      <c r="H139" s="59"/>
      <c r="I139" s="59"/>
      <c r="J139" s="59"/>
      <c r="K139" s="64"/>
      <c r="L139" s="59"/>
      <c r="M139" s="59"/>
      <c r="N139" s="59"/>
      <c r="O139" s="259">
        <f t="shared" si="104"/>
        <v>541000</v>
      </c>
      <c r="P139" s="50">
        <f t="shared" si="111"/>
        <v>0.0691699604743083</v>
      </c>
    </row>
    <row r="140" spans="1:16" s="31" customFormat="1" ht="15">
      <c r="A140" s="29" t="s">
        <v>13</v>
      </c>
      <c r="B140" s="260">
        <f>+SUM(B141:B150)</f>
        <v>15309048</v>
      </c>
      <c r="C140" s="30">
        <f>+SUM(C141:C150)</f>
        <v>5506000</v>
      </c>
      <c r="D140" s="30">
        <f aca="true" t="shared" si="112" ref="D140:O140">+SUM(D141:D150)</f>
        <v>374000</v>
      </c>
      <c r="E140" s="30">
        <f t="shared" si="112"/>
        <v>4970000</v>
      </c>
      <c r="F140" s="30">
        <f t="shared" si="112"/>
        <v>374000</v>
      </c>
      <c r="G140" s="30">
        <f t="shared" si="112"/>
        <v>374000</v>
      </c>
      <c r="H140" s="30">
        <f t="shared" si="112"/>
        <v>2538000</v>
      </c>
      <c r="I140" s="30">
        <f t="shared" si="112"/>
        <v>374000</v>
      </c>
      <c r="J140" s="30">
        <f t="shared" si="112"/>
        <v>374000</v>
      </c>
      <c r="K140" s="30">
        <f t="shared" si="112"/>
        <v>374000</v>
      </c>
      <c r="L140" s="30">
        <f t="shared" si="112"/>
        <v>374000</v>
      </c>
      <c r="M140" s="30">
        <f t="shared" si="112"/>
        <v>374000</v>
      </c>
      <c r="N140" s="30">
        <f t="shared" si="112"/>
        <v>374000</v>
      </c>
      <c r="O140" s="260">
        <f t="shared" si="112"/>
        <v>16380000</v>
      </c>
      <c r="P140" s="50">
        <f t="shared" si="111"/>
        <v>0.06995549298689245</v>
      </c>
    </row>
    <row r="141" spans="1:16" ht="15">
      <c r="A141" s="163" t="s">
        <v>14</v>
      </c>
      <c r="B141" s="258">
        <v>816000</v>
      </c>
      <c r="C141" s="64">
        <f>ROUND(((+$B$141*$B$58)+$B$141),-3)</f>
        <v>873000</v>
      </c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259">
        <f t="shared" si="104"/>
        <v>873000</v>
      </c>
      <c r="P141" s="50">
        <f t="shared" si="111"/>
        <v>0.06985294117647059</v>
      </c>
    </row>
    <row r="142" spans="1:16" ht="15">
      <c r="A142" s="163" t="s">
        <v>15</v>
      </c>
      <c r="B142" s="258">
        <v>0</v>
      </c>
      <c r="C142" s="51"/>
      <c r="D142" s="59"/>
      <c r="E142" s="59"/>
      <c r="F142" s="51"/>
      <c r="G142" s="59"/>
      <c r="H142" s="59"/>
      <c r="I142" s="59"/>
      <c r="J142" s="59"/>
      <c r="K142" s="59"/>
      <c r="L142" s="59"/>
      <c r="M142" s="59"/>
      <c r="N142" s="59"/>
      <c r="O142" s="259">
        <f t="shared" si="104"/>
        <v>0</v>
      </c>
      <c r="P142" s="50">
        <v>0</v>
      </c>
    </row>
    <row r="143" spans="1:16" ht="15">
      <c r="A143" s="163" t="s">
        <v>16</v>
      </c>
      <c r="B143" s="258">
        <v>106000</v>
      </c>
      <c r="C143" s="64">
        <f>ROUND(((+$B$143*$B$58)+$B$143),-3)</f>
        <v>113000</v>
      </c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259">
        <f t="shared" si="104"/>
        <v>113000</v>
      </c>
      <c r="P143" s="50">
        <f t="shared" si="111"/>
        <v>0.0660377358490566</v>
      </c>
    </row>
    <row r="144" spans="1:16" ht="15">
      <c r="A144" s="163" t="s">
        <v>17</v>
      </c>
      <c r="B144" s="258">
        <v>1300000</v>
      </c>
      <c r="C144" s="64">
        <f>ROUND(((+$B$144*$B$58)+$B$144),-3)</f>
        <v>1391000</v>
      </c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259">
        <f t="shared" si="104"/>
        <v>1391000</v>
      </c>
      <c r="P144" s="50">
        <f t="shared" si="111"/>
        <v>0.07</v>
      </c>
    </row>
    <row r="145" spans="1:16" ht="15">
      <c r="A145" s="163" t="s">
        <v>229</v>
      </c>
      <c r="B145" s="258">
        <v>1895000</v>
      </c>
      <c r="C145" s="64">
        <f>ROUND(((+$B$145*$B$58)+$B$145),-3)</f>
        <v>2028000</v>
      </c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259">
        <f t="shared" si="104"/>
        <v>2028000</v>
      </c>
      <c r="P145" s="50">
        <f t="shared" si="111"/>
        <v>0.07018469656992084</v>
      </c>
    </row>
    <row r="146" spans="1:16" ht="15">
      <c r="A146" s="163" t="s">
        <v>18</v>
      </c>
      <c r="B146" s="258">
        <v>23500</v>
      </c>
      <c r="C146" s="64">
        <f>ROUND(((+$B$146*$B$58)+$B$146),-3)</f>
        <v>25000</v>
      </c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259">
        <f t="shared" si="104"/>
        <v>25000</v>
      </c>
      <c r="P146" s="50">
        <f t="shared" si="111"/>
        <v>0.06382978723404255</v>
      </c>
    </row>
    <row r="147" spans="1:16" ht="15">
      <c r="A147" s="163" t="s">
        <v>20</v>
      </c>
      <c r="B147" s="264">
        <v>4195000</v>
      </c>
      <c r="C147" s="51">
        <f aca="true" t="shared" si="113" ref="C147:N147">ROUND((((+$B$147*$B$58)+$B$147))/12,-3)</f>
        <v>374000</v>
      </c>
      <c r="D147" s="51">
        <f t="shared" si="113"/>
        <v>374000</v>
      </c>
      <c r="E147" s="51">
        <f t="shared" si="113"/>
        <v>374000</v>
      </c>
      <c r="F147" s="51">
        <f t="shared" si="113"/>
        <v>374000</v>
      </c>
      <c r="G147" s="51">
        <f t="shared" si="113"/>
        <v>374000</v>
      </c>
      <c r="H147" s="51">
        <f t="shared" si="113"/>
        <v>374000</v>
      </c>
      <c r="I147" s="51">
        <f t="shared" si="113"/>
        <v>374000</v>
      </c>
      <c r="J147" s="51">
        <f t="shared" si="113"/>
        <v>374000</v>
      </c>
      <c r="K147" s="51">
        <f t="shared" si="113"/>
        <v>374000</v>
      </c>
      <c r="L147" s="51">
        <f t="shared" si="113"/>
        <v>374000</v>
      </c>
      <c r="M147" s="51">
        <f t="shared" si="113"/>
        <v>374000</v>
      </c>
      <c r="N147" s="51">
        <f t="shared" si="113"/>
        <v>374000</v>
      </c>
      <c r="O147" s="259">
        <f>SUM(C147:N147)</f>
        <v>4488000</v>
      </c>
      <c r="P147" s="50">
        <f>+(O147-B147)/B147</f>
        <v>0.0698450536352801</v>
      </c>
    </row>
    <row r="148" spans="1:16" ht="15">
      <c r="A148" s="163" t="s">
        <v>414</v>
      </c>
      <c r="B148" s="264">
        <v>2022000</v>
      </c>
      <c r="C148" s="51"/>
      <c r="D148" s="51"/>
      <c r="E148" s="51"/>
      <c r="F148" s="51"/>
      <c r="G148" s="51"/>
      <c r="H148" s="51">
        <f>ROUND((((+$B$148*$B$58)+$B$148)),-3)</f>
        <v>2164000</v>
      </c>
      <c r="I148" s="51"/>
      <c r="J148" s="51"/>
      <c r="K148" s="51"/>
      <c r="L148" s="51"/>
      <c r="M148" s="51"/>
      <c r="N148" s="51"/>
      <c r="O148" s="259">
        <f>SUM(C148:N148)</f>
        <v>2164000</v>
      </c>
      <c r="P148" s="50">
        <f>+(O148-B148)/B148</f>
        <v>0.0702274975272008</v>
      </c>
    </row>
    <row r="149" spans="1:16" ht="15">
      <c r="A149" s="163" t="s">
        <v>230</v>
      </c>
      <c r="B149" s="258">
        <v>172100</v>
      </c>
      <c r="C149" s="51">
        <f>ROUND((((+$B$149*$B$58)+$B$149)),-3)</f>
        <v>184000</v>
      </c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259">
        <f>SUM(C149:N149)</f>
        <v>184000</v>
      </c>
      <c r="P149" s="50">
        <f>+(O149-B149)/B149</f>
        <v>0.06914584543869844</v>
      </c>
    </row>
    <row r="150" spans="1:16" ht="15">
      <c r="A150" s="163" t="s">
        <v>19</v>
      </c>
      <c r="B150" s="260">
        <f>SUM(B151:B152)</f>
        <v>4779448</v>
      </c>
      <c r="C150" s="30">
        <f>SUM(C151:C152)</f>
        <v>518000</v>
      </c>
      <c r="D150" s="30">
        <f aca="true" t="shared" si="114" ref="D150:O150">SUM(D151:D152)</f>
        <v>0</v>
      </c>
      <c r="E150" s="30">
        <f t="shared" si="114"/>
        <v>4596000</v>
      </c>
      <c r="F150" s="30">
        <f t="shared" si="114"/>
        <v>0</v>
      </c>
      <c r="G150" s="30">
        <f t="shared" si="114"/>
        <v>0</v>
      </c>
      <c r="H150" s="30">
        <f t="shared" si="114"/>
        <v>0</v>
      </c>
      <c r="I150" s="30">
        <f t="shared" si="114"/>
        <v>0</v>
      </c>
      <c r="J150" s="30">
        <f t="shared" si="114"/>
        <v>0</v>
      </c>
      <c r="K150" s="30">
        <f t="shared" si="114"/>
        <v>0</v>
      </c>
      <c r="L150" s="30">
        <f t="shared" si="114"/>
        <v>0</v>
      </c>
      <c r="M150" s="30">
        <f t="shared" si="114"/>
        <v>0</v>
      </c>
      <c r="N150" s="30">
        <f t="shared" si="114"/>
        <v>0</v>
      </c>
      <c r="O150" s="260">
        <f t="shared" si="114"/>
        <v>5114000</v>
      </c>
      <c r="P150" s="50">
        <f t="shared" si="111"/>
        <v>0.06999804161484757</v>
      </c>
    </row>
    <row r="151" spans="1:16" ht="15">
      <c r="A151" s="163" t="s">
        <v>21</v>
      </c>
      <c r="B151" s="258">
        <v>484500</v>
      </c>
      <c r="C151" s="51">
        <f>ROUND((((+$B$151*$B$58)+$B$151)),-3)</f>
        <v>518000</v>
      </c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259">
        <f t="shared" si="104"/>
        <v>518000</v>
      </c>
      <c r="P151" s="50">
        <f t="shared" si="111"/>
        <v>0.06914344685242518</v>
      </c>
    </row>
    <row r="152" spans="1:16" ht="15">
      <c r="A152" s="163" t="s">
        <v>35</v>
      </c>
      <c r="B152" s="258">
        <v>4294948</v>
      </c>
      <c r="C152" s="51">
        <v>0</v>
      </c>
      <c r="D152" s="51">
        <v>0</v>
      </c>
      <c r="E152" s="51">
        <f>ROUND((((+$B$152*$B$58)+$B$152)),-3)</f>
        <v>4596000</v>
      </c>
      <c r="F152" s="51">
        <v>0</v>
      </c>
      <c r="G152" s="64"/>
      <c r="H152" s="64"/>
      <c r="I152" s="64"/>
      <c r="J152" s="64"/>
      <c r="K152" s="64"/>
      <c r="L152" s="64"/>
      <c r="M152" s="64"/>
      <c r="N152" s="64"/>
      <c r="O152" s="259">
        <f t="shared" si="104"/>
        <v>4596000</v>
      </c>
      <c r="P152" s="50">
        <f aca="true" t="shared" si="115" ref="P152">+(O152-B152)/B152</f>
        <v>0.07009444584660862</v>
      </c>
    </row>
    <row r="153" spans="1:16" ht="15">
      <c r="A153" s="29" t="s">
        <v>22</v>
      </c>
      <c r="B153" s="260">
        <f>+B154+B161+B162+B165+B169+B183+B189+B199</f>
        <v>215914428</v>
      </c>
      <c r="C153" s="30">
        <f>+C154+C161+C162+C165+C169+C183+C189+C199</f>
        <v>31413866.666666664</v>
      </c>
      <c r="D153" s="30">
        <f aca="true" t="shared" si="116" ref="D153:O153">+D154+D161+D162+D165+D169+D183+D189+D199</f>
        <v>29516866.666666664</v>
      </c>
      <c r="E153" s="30">
        <f t="shared" si="116"/>
        <v>46538866.666666664</v>
      </c>
      <c r="F153" s="30">
        <f t="shared" si="116"/>
        <v>23478866.666666664</v>
      </c>
      <c r="G153" s="30">
        <f t="shared" si="116"/>
        <v>14037866.666666666</v>
      </c>
      <c r="H153" s="30">
        <f t="shared" si="116"/>
        <v>15787866.666666666</v>
      </c>
      <c r="I153" s="30">
        <f t="shared" si="116"/>
        <v>16488866.666666666</v>
      </c>
      <c r="J153" s="30">
        <f t="shared" si="116"/>
        <v>17815866.666666664</v>
      </c>
      <c r="K153" s="30">
        <f t="shared" si="116"/>
        <v>15544866.666666666</v>
      </c>
      <c r="L153" s="30">
        <f t="shared" si="116"/>
        <v>15703866.666666666</v>
      </c>
      <c r="M153" s="30">
        <f t="shared" si="116"/>
        <v>12973866.666666666</v>
      </c>
      <c r="N153" s="30">
        <f t="shared" si="116"/>
        <v>18335866.666666664</v>
      </c>
      <c r="O153" s="260">
        <f t="shared" si="116"/>
        <v>257637400</v>
      </c>
      <c r="P153" s="50">
        <f aca="true" t="shared" si="117" ref="P153:P182">+(O153-B153)/B153</f>
        <v>0.19323846204478748</v>
      </c>
    </row>
    <row r="154" spans="1:16" ht="15">
      <c r="A154" s="163" t="s">
        <v>23</v>
      </c>
      <c r="B154" s="260">
        <f aca="true" t="shared" si="118" ref="B154:O154">SUM(B155:B160)</f>
        <v>24780972</v>
      </c>
      <c r="C154" s="51">
        <f t="shared" si="118"/>
        <v>2113000</v>
      </c>
      <c r="D154" s="51">
        <f t="shared" si="118"/>
        <v>2113000</v>
      </c>
      <c r="E154" s="51">
        <f t="shared" si="118"/>
        <v>2113000</v>
      </c>
      <c r="F154" s="51">
        <f t="shared" si="118"/>
        <v>3279000</v>
      </c>
      <c r="G154" s="51">
        <f t="shared" si="118"/>
        <v>2113000</v>
      </c>
      <c r="H154" s="51">
        <f t="shared" si="118"/>
        <v>2113000</v>
      </c>
      <c r="I154" s="51">
        <f t="shared" si="118"/>
        <v>2113000</v>
      </c>
      <c r="J154" s="51">
        <f t="shared" si="118"/>
        <v>2113000</v>
      </c>
      <c r="K154" s="51">
        <f t="shared" si="118"/>
        <v>2113000</v>
      </c>
      <c r="L154" s="51">
        <f t="shared" si="118"/>
        <v>2113000</v>
      </c>
      <c r="M154" s="51">
        <f t="shared" si="118"/>
        <v>2113000</v>
      </c>
      <c r="N154" s="51">
        <f t="shared" si="118"/>
        <v>2113000</v>
      </c>
      <c r="O154" s="255">
        <f t="shared" si="118"/>
        <v>26522000</v>
      </c>
      <c r="P154" s="50">
        <f t="shared" si="117"/>
        <v>0.07025664691441481</v>
      </c>
    </row>
    <row r="155" spans="1:16" ht="15">
      <c r="A155" s="163" t="s">
        <v>30</v>
      </c>
      <c r="B155" s="258">
        <v>368000</v>
      </c>
      <c r="C155" s="51">
        <f aca="true" t="shared" si="119" ref="C155:N155">ROUND(((+$B$155*$B$58)+$B$155)/12,-3)</f>
        <v>33000</v>
      </c>
      <c r="D155" s="51">
        <f t="shared" si="119"/>
        <v>33000</v>
      </c>
      <c r="E155" s="51">
        <f t="shared" si="119"/>
        <v>33000</v>
      </c>
      <c r="F155" s="51">
        <f t="shared" si="119"/>
        <v>33000</v>
      </c>
      <c r="G155" s="51">
        <f t="shared" si="119"/>
        <v>33000</v>
      </c>
      <c r="H155" s="51">
        <f t="shared" si="119"/>
        <v>33000</v>
      </c>
      <c r="I155" s="51">
        <f t="shared" si="119"/>
        <v>33000</v>
      </c>
      <c r="J155" s="51">
        <f t="shared" si="119"/>
        <v>33000</v>
      </c>
      <c r="K155" s="51">
        <f t="shared" si="119"/>
        <v>33000</v>
      </c>
      <c r="L155" s="51">
        <f t="shared" si="119"/>
        <v>33000</v>
      </c>
      <c r="M155" s="51">
        <f t="shared" si="119"/>
        <v>33000</v>
      </c>
      <c r="N155" s="51">
        <f t="shared" si="119"/>
        <v>33000</v>
      </c>
      <c r="O155" s="259">
        <f aca="true" t="shared" si="120" ref="O155:O198">SUM(C155:N155)</f>
        <v>396000</v>
      </c>
      <c r="P155" s="50">
        <f t="shared" si="117"/>
        <v>0.07608695652173914</v>
      </c>
    </row>
    <row r="156" spans="1:16" ht="15">
      <c r="A156" s="163" t="s">
        <v>611</v>
      </c>
      <c r="B156" s="258">
        <v>1089400</v>
      </c>
      <c r="C156" s="51">
        <v>0</v>
      </c>
      <c r="D156" s="51">
        <v>0</v>
      </c>
      <c r="E156" s="51">
        <v>0</v>
      </c>
      <c r="F156" s="51">
        <f>ROUND(((+$B$156*$B$58)+$B$156)/1,-3)</f>
        <v>1166000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259">
        <f t="shared" si="120"/>
        <v>1166000</v>
      </c>
      <c r="P156" s="50">
        <f t="shared" si="117"/>
        <v>0.07031393427574811</v>
      </c>
    </row>
    <row r="157" spans="1:16" ht="15">
      <c r="A157" s="163" t="s">
        <v>31</v>
      </c>
      <c r="B157" s="258">
        <v>20042520</v>
      </c>
      <c r="C157" s="51">
        <f aca="true" t="shared" si="121" ref="C157:N157">ROUND(((+$B$157*$B$58)+$B$157)/12,-3)</f>
        <v>1787000</v>
      </c>
      <c r="D157" s="51">
        <f t="shared" si="121"/>
        <v>1787000</v>
      </c>
      <c r="E157" s="51">
        <f t="shared" si="121"/>
        <v>1787000</v>
      </c>
      <c r="F157" s="51">
        <f t="shared" si="121"/>
        <v>1787000</v>
      </c>
      <c r="G157" s="51">
        <f t="shared" si="121"/>
        <v>1787000</v>
      </c>
      <c r="H157" s="51">
        <f t="shared" si="121"/>
        <v>1787000</v>
      </c>
      <c r="I157" s="51">
        <f t="shared" si="121"/>
        <v>1787000</v>
      </c>
      <c r="J157" s="51">
        <f t="shared" si="121"/>
        <v>1787000</v>
      </c>
      <c r="K157" s="51">
        <f t="shared" si="121"/>
        <v>1787000</v>
      </c>
      <c r="L157" s="51">
        <f t="shared" si="121"/>
        <v>1787000</v>
      </c>
      <c r="M157" s="51">
        <f t="shared" si="121"/>
        <v>1787000</v>
      </c>
      <c r="N157" s="51">
        <f t="shared" si="121"/>
        <v>1787000</v>
      </c>
      <c r="O157" s="259">
        <f t="shared" si="120"/>
        <v>21444000</v>
      </c>
      <c r="P157" s="50">
        <f t="shared" si="117"/>
        <v>0.06992533872986031</v>
      </c>
    </row>
    <row r="158" spans="1:16" ht="15">
      <c r="A158" s="163" t="s">
        <v>32</v>
      </c>
      <c r="B158" s="258">
        <v>1316076</v>
      </c>
      <c r="C158" s="51">
        <f aca="true" t="shared" si="122" ref="C158:N158">ROUND(((+$B$158*$B$58)+$B$158)/12,-3)</f>
        <v>117000</v>
      </c>
      <c r="D158" s="51">
        <f t="shared" si="122"/>
        <v>117000</v>
      </c>
      <c r="E158" s="51">
        <f t="shared" si="122"/>
        <v>117000</v>
      </c>
      <c r="F158" s="51">
        <f t="shared" si="122"/>
        <v>117000</v>
      </c>
      <c r="G158" s="51">
        <f t="shared" si="122"/>
        <v>117000</v>
      </c>
      <c r="H158" s="51">
        <f t="shared" si="122"/>
        <v>117000</v>
      </c>
      <c r="I158" s="51">
        <f t="shared" si="122"/>
        <v>117000</v>
      </c>
      <c r="J158" s="51">
        <f t="shared" si="122"/>
        <v>117000</v>
      </c>
      <c r="K158" s="51">
        <f t="shared" si="122"/>
        <v>117000</v>
      </c>
      <c r="L158" s="51">
        <f t="shared" si="122"/>
        <v>117000</v>
      </c>
      <c r="M158" s="51">
        <f t="shared" si="122"/>
        <v>117000</v>
      </c>
      <c r="N158" s="51">
        <f t="shared" si="122"/>
        <v>117000</v>
      </c>
      <c r="O158" s="259">
        <f t="shared" si="120"/>
        <v>1404000</v>
      </c>
      <c r="P158" s="50">
        <f t="shared" si="117"/>
        <v>0.06680769195699944</v>
      </c>
    </row>
    <row r="159" spans="1:16" ht="15">
      <c r="A159" s="163" t="s">
        <v>33</v>
      </c>
      <c r="B159" s="258">
        <v>982488</v>
      </c>
      <c r="C159" s="51">
        <f aca="true" t="shared" si="123" ref="C159:N159">ROUND(((+$B$159*$B$58)+$B$159)/12,-3)</f>
        <v>88000</v>
      </c>
      <c r="D159" s="51">
        <f t="shared" si="123"/>
        <v>88000</v>
      </c>
      <c r="E159" s="51">
        <f t="shared" si="123"/>
        <v>88000</v>
      </c>
      <c r="F159" s="51">
        <f t="shared" si="123"/>
        <v>88000</v>
      </c>
      <c r="G159" s="51">
        <f t="shared" si="123"/>
        <v>88000</v>
      </c>
      <c r="H159" s="51">
        <f t="shared" si="123"/>
        <v>88000</v>
      </c>
      <c r="I159" s="51">
        <f t="shared" si="123"/>
        <v>88000</v>
      </c>
      <c r="J159" s="51">
        <f t="shared" si="123"/>
        <v>88000</v>
      </c>
      <c r="K159" s="51">
        <f t="shared" si="123"/>
        <v>88000</v>
      </c>
      <c r="L159" s="51">
        <f t="shared" si="123"/>
        <v>88000</v>
      </c>
      <c r="M159" s="51">
        <f t="shared" si="123"/>
        <v>88000</v>
      </c>
      <c r="N159" s="51">
        <f t="shared" si="123"/>
        <v>88000</v>
      </c>
      <c r="O159" s="259">
        <f t="shared" si="120"/>
        <v>1056000</v>
      </c>
      <c r="P159" s="50">
        <f t="shared" si="117"/>
        <v>0.07482228790580649</v>
      </c>
    </row>
    <row r="160" spans="1:16" ht="15">
      <c r="A160" s="163" t="s">
        <v>34</v>
      </c>
      <c r="B160" s="258">
        <v>982488</v>
      </c>
      <c r="C160" s="51">
        <f aca="true" t="shared" si="124" ref="C160:N160">ROUND(((+$B$160*$B$58)+$B$160)/12,-3)</f>
        <v>88000</v>
      </c>
      <c r="D160" s="51">
        <f t="shared" si="124"/>
        <v>88000</v>
      </c>
      <c r="E160" s="51">
        <f t="shared" si="124"/>
        <v>88000</v>
      </c>
      <c r="F160" s="51">
        <f t="shared" si="124"/>
        <v>88000</v>
      </c>
      <c r="G160" s="51">
        <f t="shared" si="124"/>
        <v>88000</v>
      </c>
      <c r="H160" s="51">
        <f t="shared" si="124"/>
        <v>88000</v>
      </c>
      <c r="I160" s="51">
        <f t="shared" si="124"/>
        <v>88000</v>
      </c>
      <c r="J160" s="51">
        <f t="shared" si="124"/>
        <v>88000</v>
      </c>
      <c r="K160" s="51">
        <f t="shared" si="124"/>
        <v>88000</v>
      </c>
      <c r="L160" s="51">
        <f t="shared" si="124"/>
        <v>88000</v>
      </c>
      <c r="M160" s="51">
        <f t="shared" si="124"/>
        <v>88000</v>
      </c>
      <c r="N160" s="51">
        <f t="shared" si="124"/>
        <v>88000</v>
      </c>
      <c r="O160" s="259">
        <f t="shared" si="120"/>
        <v>1056000</v>
      </c>
      <c r="P160" s="50">
        <f t="shared" si="117"/>
        <v>0.07482228790580649</v>
      </c>
    </row>
    <row r="161" spans="1:16" ht="15">
      <c r="A161" s="163" t="s">
        <v>24</v>
      </c>
      <c r="B161" s="260">
        <v>0</v>
      </c>
      <c r="C161" s="51">
        <f>1200000+1064000</f>
        <v>2264000</v>
      </c>
      <c r="D161" s="51">
        <f aca="true" t="shared" si="125" ref="D161:E161">1200000+1064000</f>
        <v>2264000</v>
      </c>
      <c r="E161" s="51">
        <f t="shared" si="125"/>
        <v>2264000</v>
      </c>
      <c r="F161" s="51">
        <v>1064000</v>
      </c>
      <c r="G161" s="51">
        <v>1064000</v>
      </c>
      <c r="H161" s="51">
        <v>1064000</v>
      </c>
      <c r="I161" s="59"/>
      <c r="J161" s="59"/>
      <c r="K161" s="59"/>
      <c r="L161" s="59"/>
      <c r="M161" s="51">
        <v>0</v>
      </c>
      <c r="N161" s="51">
        <v>0</v>
      </c>
      <c r="O161" s="255">
        <f t="shared" si="120"/>
        <v>9984000</v>
      </c>
      <c r="P161" s="50">
        <v>1</v>
      </c>
    </row>
    <row r="162" spans="1:16" ht="15">
      <c r="A162" s="163" t="s">
        <v>25</v>
      </c>
      <c r="B162" s="255">
        <f aca="true" t="shared" si="126" ref="B162:O162">SUM(B163:B164)</f>
        <v>2990000</v>
      </c>
      <c r="C162" s="51">
        <f t="shared" si="126"/>
        <v>267000</v>
      </c>
      <c r="D162" s="51">
        <f t="shared" si="126"/>
        <v>267000</v>
      </c>
      <c r="E162" s="51">
        <f t="shared" si="126"/>
        <v>267000</v>
      </c>
      <c r="F162" s="51">
        <f t="shared" si="126"/>
        <v>267000</v>
      </c>
      <c r="G162" s="51">
        <f t="shared" si="126"/>
        <v>267000</v>
      </c>
      <c r="H162" s="51">
        <f t="shared" si="126"/>
        <v>267000</v>
      </c>
      <c r="I162" s="51">
        <f t="shared" si="126"/>
        <v>267000</v>
      </c>
      <c r="J162" s="51">
        <f t="shared" si="126"/>
        <v>267000</v>
      </c>
      <c r="K162" s="51">
        <f t="shared" si="126"/>
        <v>267000</v>
      </c>
      <c r="L162" s="51">
        <f t="shared" si="126"/>
        <v>267000</v>
      </c>
      <c r="M162" s="51">
        <f t="shared" si="126"/>
        <v>267000</v>
      </c>
      <c r="N162" s="51">
        <f t="shared" si="126"/>
        <v>267000</v>
      </c>
      <c r="O162" s="255">
        <f t="shared" si="126"/>
        <v>3204000</v>
      </c>
      <c r="P162" s="50">
        <f t="shared" si="117"/>
        <v>0.07157190635451505</v>
      </c>
    </row>
    <row r="163" spans="1:16" ht="15">
      <c r="A163" s="163" t="s">
        <v>38</v>
      </c>
      <c r="B163" s="258">
        <v>2700000</v>
      </c>
      <c r="C163" s="51">
        <f aca="true" t="shared" si="127" ref="C163:N163">ROUND(((+$B$163*$B$58)+$B$163)/12,-3)</f>
        <v>241000</v>
      </c>
      <c r="D163" s="51">
        <f t="shared" si="127"/>
        <v>241000</v>
      </c>
      <c r="E163" s="51">
        <f t="shared" si="127"/>
        <v>241000</v>
      </c>
      <c r="F163" s="51">
        <f t="shared" si="127"/>
        <v>241000</v>
      </c>
      <c r="G163" s="51">
        <f t="shared" si="127"/>
        <v>241000</v>
      </c>
      <c r="H163" s="51">
        <f t="shared" si="127"/>
        <v>241000</v>
      </c>
      <c r="I163" s="51">
        <f t="shared" si="127"/>
        <v>241000</v>
      </c>
      <c r="J163" s="51">
        <f t="shared" si="127"/>
        <v>241000</v>
      </c>
      <c r="K163" s="51">
        <f t="shared" si="127"/>
        <v>241000</v>
      </c>
      <c r="L163" s="51">
        <f t="shared" si="127"/>
        <v>241000</v>
      </c>
      <c r="M163" s="51">
        <f t="shared" si="127"/>
        <v>241000</v>
      </c>
      <c r="N163" s="51">
        <f t="shared" si="127"/>
        <v>241000</v>
      </c>
      <c r="O163" s="259">
        <f t="shared" si="120"/>
        <v>2892000</v>
      </c>
      <c r="P163" s="50">
        <f t="shared" si="117"/>
        <v>0.07111111111111111</v>
      </c>
    </row>
    <row r="164" spans="1:16" ht="15">
      <c r="A164" s="163" t="s">
        <v>37</v>
      </c>
      <c r="B164" s="258">
        <v>290000</v>
      </c>
      <c r="C164" s="51">
        <f aca="true" t="shared" si="128" ref="C164:N164">ROUND(((+$B$164*$B$58)+$B$164)/12,-3)</f>
        <v>26000</v>
      </c>
      <c r="D164" s="51">
        <f t="shared" si="128"/>
        <v>26000</v>
      </c>
      <c r="E164" s="51">
        <f t="shared" si="128"/>
        <v>26000</v>
      </c>
      <c r="F164" s="51">
        <f t="shared" si="128"/>
        <v>26000</v>
      </c>
      <c r="G164" s="51">
        <f t="shared" si="128"/>
        <v>26000</v>
      </c>
      <c r="H164" s="51">
        <f t="shared" si="128"/>
        <v>26000</v>
      </c>
      <c r="I164" s="51">
        <f t="shared" si="128"/>
        <v>26000</v>
      </c>
      <c r="J164" s="51">
        <f t="shared" si="128"/>
        <v>26000</v>
      </c>
      <c r="K164" s="51">
        <f t="shared" si="128"/>
        <v>26000</v>
      </c>
      <c r="L164" s="51">
        <f t="shared" si="128"/>
        <v>26000</v>
      </c>
      <c r="M164" s="51">
        <f t="shared" si="128"/>
        <v>26000</v>
      </c>
      <c r="N164" s="51">
        <f t="shared" si="128"/>
        <v>26000</v>
      </c>
      <c r="O164" s="259">
        <f t="shared" si="120"/>
        <v>312000</v>
      </c>
      <c r="P164" s="50">
        <f t="shared" si="117"/>
        <v>0.07586206896551724</v>
      </c>
    </row>
    <row r="165" spans="1:16" ht="15">
      <c r="A165" s="163" t="s">
        <v>26</v>
      </c>
      <c r="B165" s="260">
        <f aca="true" t="shared" si="129" ref="B165:O165">SUM(B166:B168)</f>
        <v>54226174</v>
      </c>
      <c r="C165" s="51">
        <f>SUM(C166:C168)</f>
        <v>4835000</v>
      </c>
      <c r="D165" s="51">
        <f t="shared" si="129"/>
        <v>4835000</v>
      </c>
      <c r="E165" s="51">
        <f t="shared" si="129"/>
        <v>4835000</v>
      </c>
      <c r="F165" s="51">
        <f t="shared" si="129"/>
        <v>4835000</v>
      </c>
      <c r="G165" s="51">
        <f t="shared" si="129"/>
        <v>4835000</v>
      </c>
      <c r="H165" s="51">
        <f t="shared" si="129"/>
        <v>4835000</v>
      </c>
      <c r="I165" s="51">
        <f t="shared" si="129"/>
        <v>4835000</v>
      </c>
      <c r="J165" s="51">
        <f t="shared" si="129"/>
        <v>4835000</v>
      </c>
      <c r="K165" s="51">
        <f t="shared" si="129"/>
        <v>4835000</v>
      </c>
      <c r="L165" s="51">
        <f t="shared" si="129"/>
        <v>4835000</v>
      </c>
      <c r="M165" s="51">
        <f t="shared" si="129"/>
        <v>4835000</v>
      </c>
      <c r="N165" s="51">
        <f t="shared" si="129"/>
        <v>4835000</v>
      </c>
      <c r="O165" s="260">
        <f t="shared" si="129"/>
        <v>58020000</v>
      </c>
      <c r="P165" s="50">
        <f t="shared" si="117"/>
        <v>0.06996300347503771</v>
      </c>
    </row>
    <row r="166" spans="1:16" ht="15">
      <c r="A166" s="163" t="s">
        <v>39</v>
      </c>
      <c r="B166" s="258">
        <v>45782504</v>
      </c>
      <c r="C166" s="51">
        <f aca="true" t="shared" si="130" ref="C166:N166">ROUND(((+$B$166*$B$58)+$B$166)/12,-3)</f>
        <v>4082000</v>
      </c>
      <c r="D166" s="51">
        <f t="shared" si="130"/>
        <v>4082000</v>
      </c>
      <c r="E166" s="51">
        <f t="shared" si="130"/>
        <v>4082000</v>
      </c>
      <c r="F166" s="51">
        <f t="shared" si="130"/>
        <v>4082000</v>
      </c>
      <c r="G166" s="51">
        <f t="shared" si="130"/>
        <v>4082000</v>
      </c>
      <c r="H166" s="51">
        <f t="shared" si="130"/>
        <v>4082000</v>
      </c>
      <c r="I166" s="51">
        <f t="shared" si="130"/>
        <v>4082000</v>
      </c>
      <c r="J166" s="51">
        <f t="shared" si="130"/>
        <v>4082000</v>
      </c>
      <c r="K166" s="51">
        <f t="shared" si="130"/>
        <v>4082000</v>
      </c>
      <c r="L166" s="51">
        <f t="shared" si="130"/>
        <v>4082000</v>
      </c>
      <c r="M166" s="51">
        <f t="shared" si="130"/>
        <v>4082000</v>
      </c>
      <c r="N166" s="51">
        <f t="shared" si="130"/>
        <v>4082000</v>
      </c>
      <c r="O166" s="259">
        <f t="shared" si="120"/>
        <v>48984000</v>
      </c>
      <c r="P166" s="50">
        <f t="shared" si="117"/>
        <v>0.06992837263772204</v>
      </c>
    </row>
    <row r="167" spans="1:16" ht="15">
      <c r="A167" s="163" t="s">
        <v>40</v>
      </c>
      <c r="B167" s="258">
        <v>3923670</v>
      </c>
      <c r="C167" s="51">
        <f aca="true" t="shared" si="131" ref="C167:N167">ROUND(((+$B$167*$B$58)+$B$167)/12,-3)</f>
        <v>350000</v>
      </c>
      <c r="D167" s="51">
        <f t="shared" si="131"/>
        <v>350000</v>
      </c>
      <c r="E167" s="51">
        <f t="shared" si="131"/>
        <v>350000</v>
      </c>
      <c r="F167" s="51">
        <f t="shared" si="131"/>
        <v>350000</v>
      </c>
      <c r="G167" s="51">
        <f t="shared" si="131"/>
        <v>350000</v>
      </c>
      <c r="H167" s="51">
        <f t="shared" si="131"/>
        <v>350000</v>
      </c>
      <c r="I167" s="51">
        <f t="shared" si="131"/>
        <v>350000</v>
      </c>
      <c r="J167" s="51">
        <f t="shared" si="131"/>
        <v>350000</v>
      </c>
      <c r="K167" s="51">
        <f t="shared" si="131"/>
        <v>350000</v>
      </c>
      <c r="L167" s="51">
        <f t="shared" si="131"/>
        <v>350000</v>
      </c>
      <c r="M167" s="51">
        <f t="shared" si="131"/>
        <v>350000</v>
      </c>
      <c r="N167" s="51">
        <f t="shared" si="131"/>
        <v>350000</v>
      </c>
      <c r="O167" s="259">
        <f t="shared" si="120"/>
        <v>4200000</v>
      </c>
      <c r="P167" s="50">
        <f t="shared" si="117"/>
        <v>0.07042641200712599</v>
      </c>
    </row>
    <row r="168" spans="1:16" ht="15">
      <c r="A168" s="163" t="s">
        <v>41</v>
      </c>
      <c r="B168" s="258">
        <v>4520000</v>
      </c>
      <c r="C168" s="51">
        <f aca="true" t="shared" si="132" ref="C168:N168">ROUND(((+$B$168*$B$58)+$B$168)/12,-3)</f>
        <v>403000</v>
      </c>
      <c r="D168" s="51">
        <f t="shared" si="132"/>
        <v>403000</v>
      </c>
      <c r="E168" s="51">
        <f t="shared" si="132"/>
        <v>403000</v>
      </c>
      <c r="F168" s="51">
        <f t="shared" si="132"/>
        <v>403000</v>
      </c>
      <c r="G168" s="51">
        <f t="shared" si="132"/>
        <v>403000</v>
      </c>
      <c r="H168" s="51">
        <f t="shared" si="132"/>
        <v>403000</v>
      </c>
      <c r="I168" s="51">
        <f t="shared" si="132"/>
        <v>403000</v>
      </c>
      <c r="J168" s="51">
        <f t="shared" si="132"/>
        <v>403000</v>
      </c>
      <c r="K168" s="51">
        <f t="shared" si="132"/>
        <v>403000</v>
      </c>
      <c r="L168" s="51">
        <f t="shared" si="132"/>
        <v>403000</v>
      </c>
      <c r="M168" s="51">
        <f t="shared" si="132"/>
        <v>403000</v>
      </c>
      <c r="N168" s="51">
        <f t="shared" si="132"/>
        <v>403000</v>
      </c>
      <c r="O168" s="259">
        <f t="shared" si="120"/>
        <v>4836000</v>
      </c>
      <c r="P168" s="50">
        <f t="shared" si="117"/>
        <v>0.06991150442477877</v>
      </c>
    </row>
    <row r="169" spans="1:16" ht="15">
      <c r="A169" s="163" t="s">
        <v>27</v>
      </c>
      <c r="B169" s="260">
        <f aca="true" t="shared" si="133" ref="B169:O169">SUM(B170:B182)</f>
        <v>27133728</v>
      </c>
      <c r="C169" s="51">
        <f t="shared" si="133"/>
        <v>2611700</v>
      </c>
      <c r="D169" s="51">
        <f t="shared" si="133"/>
        <v>2611700</v>
      </c>
      <c r="E169" s="51">
        <f t="shared" si="133"/>
        <v>2611700</v>
      </c>
      <c r="F169" s="51">
        <f t="shared" si="133"/>
        <v>2611700</v>
      </c>
      <c r="G169" s="51">
        <f t="shared" si="133"/>
        <v>2611700</v>
      </c>
      <c r="H169" s="51">
        <f t="shared" si="133"/>
        <v>2611700</v>
      </c>
      <c r="I169" s="51">
        <f t="shared" si="133"/>
        <v>2611700</v>
      </c>
      <c r="J169" s="51">
        <f t="shared" si="133"/>
        <v>2611700</v>
      </c>
      <c r="K169" s="51">
        <f t="shared" si="133"/>
        <v>2611700</v>
      </c>
      <c r="L169" s="51">
        <f t="shared" si="133"/>
        <v>2611700</v>
      </c>
      <c r="M169" s="51">
        <f t="shared" si="133"/>
        <v>2611700</v>
      </c>
      <c r="N169" s="51">
        <f t="shared" si="133"/>
        <v>2611700</v>
      </c>
      <c r="O169" s="260">
        <f t="shared" si="133"/>
        <v>31340400</v>
      </c>
      <c r="P169" s="50">
        <f t="shared" si="117"/>
        <v>0.15503479654546548</v>
      </c>
    </row>
    <row r="170" spans="1:16" ht="15">
      <c r="A170" s="163" t="s">
        <v>415</v>
      </c>
      <c r="B170" s="258">
        <v>8100000</v>
      </c>
      <c r="C170" s="51">
        <f aca="true" t="shared" si="134" ref="C170:N170">ROUND(((+$B$170*$B$58)+$B$170)/12,-3)</f>
        <v>722000</v>
      </c>
      <c r="D170" s="51">
        <f t="shared" si="134"/>
        <v>722000</v>
      </c>
      <c r="E170" s="51">
        <f t="shared" si="134"/>
        <v>722000</v>
      </c>
      <c r="F170" s="51">
        <f t="shared" si="134"/>
        <v>722000</v>
      </c>
      <c r="G170" s="51">
        <f t="shared" si="134"/>
        <v>722000</v>
      </c>
      <c r="H170" s="51">
        <f t="shared" si="134"/>
        <v>722000</v>
      </c>
      <c r="I170" s="51">
        <f t="shared" si="134"/>
        <v>722000</v>
      </c>
      <c r="J170" s="51">
        <f t="shared" si="134"/>
        <v>722000</v>
      </c>
      <c r="K170" s="51">
        <f t="shared" si="134"/>
        <v>722000</v>
      </c>
      <c r="L170" s="51">
        <f t="shared" si="134"/>
        <v>722000</v>
      </c>
      <c r="M170" s="51">
        <f t="shared" si="134"/>
        <v>722000</v>
      </c>
      <c r="N170" s="51">
        <f t="shared" si="134"/>
        <v>722000</v>
      </c>
      <c r="O170" s="259">
        <f t="shared" si="120"/>
        <v>8664000</v>
      </c>
      <c r="P170" s="50">
        <f t="shared" si="117"/>
        <v>0.06962962962962962</v>
      </c>
    </row>
    <row r="171" spans="1:16" ht="15">
      <c r="A171" s="163" t="s">
        <v>612</v>
      </c>
      <c r="B171" s="258">
        <v>1267200</v>
      </c>
      <c r="C171" s="51">
        <v>37700</v>
      </c>
      <c r="D171" s="51">
        <v>37700</v>
      </c>
      <c r="E171" s="51">
        <v>37700</v>
      </c>
      <c r="F171" s="51">
        <v>37700</v>
      </c>
      <c r="G171" s="51">
        <v>37700</v>
      </c>
      <c r="H171" s="51">
        <v>37700</v>
      </c>
      <c r="I171" s="51">
        <v>37700</v>
      </c>
      <c r="J171" s="51">
        <v>37700</v>
      </c>
      <c r="K171" s="51">
        <v>37700</v>
      </c>
      <c r="L171" s="51">
        <v>37700</v>
      </c>
      <c r="M171" s="51">
        <v>37700</v>
      </c>
      <c r="N171" s="51">
        <v>37700</v>
      </c>
      <c r="O171" s="259">
        <f t="shared" si="120"/>
        <v>452400</v>
      </c>
      <c r="P171" s="50">
        <f t="shared" si="117"/>
        <v>-0.6429924242424242</v>
      </c>
    </row>
    <row r="172" spans="1:16" ht="15">
      <c r="A172" s="163" t="s">
        <v>614</v>
      </c>
      <c r="B172" s="258">
        <v>0</v>
      </c>
      <c r="C172" s="51">
        <v>617000</v>
      </c>
      <c r="D172" s="51">
        <v>617000</v>
      </c>
      <c r="E172" s="51">
        <v>617000</v>
      </c>
      <c r="F172" s="51">
        <v>617000</v>
      </c>
      <c r="G172" s="51">
        <v>617000</v>
      </c>
      <c r="H172" s="51">
        <v>617000</v>
      </c>
      <c r="I172" s="51">
        <v>617000</v>
      </c>
      <c r="J172" s="51">
        <v>617000</v>
      </c>
      <c r="K172" s="51">
        <v>617000</v>
      </c>
      <c r="L172" s="51">
        <v>617000</v>
      </c>
      <c r="M172" s="51">
        <v>617000</v>
      </c>
      <c r="N172" s="51">
        <v>617000</v>
      </c>
      <c r="O172" s="259">
        <f t="shared" si="120"/>
        <v>7404000</v>
      </c>
      <c r="P172" s="50">
        <v>1</v>
      </c>
    </row>
    <row r="173" spans="1:16" ht="15">
      <c r="A173" s="163" t="s">
        <v>416</v>
      </c>
      <c r="B173" s="258">
        <v>3780000</v>
      </c>
      <c r="C173" s="51">
        <f aca="true" t="shared" si="135" ref="C173:N173">ROUND(((+$B$173*$B$58)+$B$173)/12,-3)</f>
        <v>337000</v>
      </c>
      <c r="D173" s="51">
        <f t="shared" si="135"/>
        <v>337000</v>
      </c>
      <c r="E173" s="51">
        <f t="shared" si="135"/>
        <v>337000</v>
      </c>
      <c r="F173" s="51">
        <f t="shared" si="135"/>
        <v>337000</v>
      </c>
      <c r="G173" s="51">
        <f t="shared" si="135"/>
        <v>337000</v>
      </c>
      <c r="H173" s="51">
        <f t="shared" si="135"/>
        <v>337000</v>
      </c>
      <c r="I173" s="51">
        <f t="shared" si="135"/>
        <v>337000</v>
      </c>
      <c r="J173" s="51">
        <f t="shared" si="135"/>
        <v>337000</v>
      </c>
      <c r="K173" s="51">
        <f t="shared" si="135"/>
        <v>337000</v>
      </c>
      <c r="L173" s="51">
        <f t="shared" si="135"/>
        <v>337000</v>
      </c>
      <c r="M173" s="51">
        <f t="shared" si="135"/>
        <v>337000</v>
      </c>
      <c r="N173" s="51">
        <f t="shared" si="135"/>
        <v>337000</v>
      </c>
      <c r="O173" s="259">
        <f t="shared" si="120"/>
        <v>4044000</v>
      </c>
      <c r="P173" s="50">
        <f t="shared" si="117"/>
        <v>0.06984126984126984</v>
      </c>
    </row>
    <row r="174" spans="1:16" ht="15">
      <c r="A174" s="163" t="s">
        <v>613</v>
      </c>
      <c r="B174" s="258">
        <v>1248000</v>
      </c>
      <c r="C174" s="51">
        <f aca="true" t="shared" si="136" ref="C174:N174">ROUND(((+$B$174*$B$58)+$B$174)/12,-3)</f>
        <v>111000</v>
      </c>
      <c r="D174" s="51">
        <f t="shared" si="136"/>
        <v>111000</v>
      </c>
      <c r="E174" s="51">
        <f t="shared" si="136"/>
        <v>111000</v>
      </c>
      <c r="F174" s="51">
        <f t="shared" si="136"/>
        <v>111000</v>
      </c>
      <c r="G174" s="51">
        <f t="shared" si="136"/>
        <v>111000</v>
      </c>
      <c r="H174" s="51">
        <f t="shared" si="136"/>
        <v>111000</v>
      </c>
      <c r="I174" s="51">
        <f t="shared" si="136"/>
        <v>111000</v>
      </c>
      <c r="J174" s="51">
        <f t="shared" si="136"/>
        <v>111000</v>
      </c>
      <c r="K174" s="51">
        <f t="shared" si="136"/>
        <v>111000</v>
      </c>
      <c r="L174" s="51">
        <f t="shared" si="136"/>
        <v>111000</v>
      </c>
      <c r="M174" s="51">
        <f t="shared" si="136"/>
        <v>111000</v>
      </c>
      <c r="N174" s="51">
        <f t="shared" si="136"/>
        <v>111000</v>
      </c>
      <c r="O174" s="259">
        <f t="shared" si="120"/>
        <v>1332000</v>
      </c>
      <c r="P174" s="50">
        <f t="shared" si="117"/>
        <v>0.0673076923076923</v>
      </c>
    </row>
    <row r="175" spans="1:16" ht="15">
      <c r="A175" s="163" t="s">
        <v>43</v>
      </c>
      <c r="B175" s="258">
        <v>605000</v>
      </c>
      <c r="C175" s="51">
        <f aca="true" t="shared" si="137" ref="C175:N175">ROUND(((+$B$175*$B$58)+$B$175)/12,-3)</f>
        <v>54000</v>
      </c>
      <c r="D175" s="51">
        <f t="shared" si="137"/>
        <v>54000</v>
      </c>
      <c r="E175" s="51">
        <f t="shared" si="137"/>
        <v>54000</v>
      </c>
      <c r="F175" s="51">
        <f t="shared" si="137"/>
        <v>54000</v>
      </c>
      <c r="G175" s="51">
        <f t="shared" si="137"/>
        <v>54000</v>
      </c>
      <c r="H175" s="51">
        <f t="shared" si="137"/>
        <v>54000</v>
      </c>
      <c r="I175" s="51">
        <f t="shared" si="137"/>
        <v>54000</v>
      </c>
      <c r="J175" s="51">
        <f t="shared" si="137"/>
        <v>54000</v>
      </c>
      <c r="K175" s="51">
        <f t="shared" si="137"/>
        <v>54000</v>
      </c>
      <c r="L175" s="51">
        <f t="shared" si="137"/>
        <v>54000</v>
      </c>
      <c r="M175" s="51">
        <f t="shared" si="137"/>
        <v>54000</v>
      </c>
      <c r="N175" s="51">
        <f t="shared" si="137"/>
        <v>54000</v>
      </c>
      <c r="O175" s="259">
        <f t="shared" si="120"/>
        <v>648000</v>
      </c>
      <c r="P175" s="50">
        <f t="shared" si="117"/>
        <v>0.07107438016528926</v>
      </c>
    </row>
    <row r="176" spans="1:16" ht="15">
      <c r="A176" s="163" t="s">
        <v>42</v>
      </c>
      <c r="B176" s="258">
        <v>605000</v>
      </c>
      <c r="C176" s="51">
        <f aca="true" t="shared" si="138" ref="C176:N176">ROUND(((+$B$176*$B$58)+$B$176)/12,-3)</f>
        <v>54000</v>
      </c>
      <c r="D176" s="51">
        <f t="shared" si="138"/>
        <v>54000</v>
      </c>
      <c r="E176" s="51">
        <f t="shared" si="138"/>
        <v>54000</v>
      </c>
      <c r="F176" s="51">
        <f t="shared" si="138"/>
        <v>54000</v>
      </c>
      <c r="G176" s="51">
        <f t="shared" si="138"/>
        <v>54000</v>
      </c>
      <c r="H176" s="51">
        <f t="shared" si="138"/>
        <v>54000</v>
      </c>
      <c r="I176" s="51">
        <f t="shared" si="138"/>
        <v>54000</v>
      </c>
      <c r="J176" s="51">
        <f t="shared" si="138"/>
        <v>54000</v>
      </c>
      <c r="K176" s="51">
        <f t="shared" si="138"/>
        <v>54000</v>
      </c>
      <c r="L176" s="51">
        <f t="shared" si="138"/>
        <v>54000</v>
      </c>
      <c r="M176" s="51">
        <f t="shared" si="138"/>
        <v>54000</v>
      </c>
      <c r="N176" s="51">
        <f t="shared" si="138"/>
        <v>54000</v>
      </c>
      <c r="O176" s="259">
        <f t="shared" si="120"/>
        <v>648000</v>
      </c>
      <c r="P176" s="50">
        <f t="shared" si="117"/>
        <v>0.07107438016528926</v>
      </c>
    </row>
    <row r="177" spans="1:16" ht="15">
      <c r="A177" s="163" t="s">
        <v>44</v>
      </c>
      <c r="B177" s="258">
        <v>1200000</v>
      </c>
      <c r="C177" s="51">
        <f aca="true" t="shared" si="139" ref="C177:N177">ROUND(((+$B$177*$B$58)+$B$177)/12,-3)</f>
        <v>107000</v>
      </c>
      <c r="D177" s="51">
        <f t="shared" si="139"/>
        <v>107000</v>
      </c>
      <c r="E177" s="51">
        <f t="shared" si="139"/>
        <v>107000</v>
      </c>
      <c r="F177" s="51">
        <f t="shared" si="139"/>
        <v>107000</v>
      </c>
      <c r="G177" s="51">
        <f t="shared" si="139"/>
        <v>107000</v>
      </c>
      <c r="H177" s="51">
        <f t="shared" si="139"/>
        <v>107000</v>
      </c>
      <c r="I177" s="51">
        <f t="shared" si="139"/>
        <v>107000</v>
      </c>
      <c r="J177" s="51">
        <f t="shared" si="139"/>
        <v>107000</v>
      </c>
      <c r="K177" s="51">
        <f t="shared" si="139"/>
        <v>107000</v>
      </c>
      <c r="L177" s="51">
        <f t="shared" si="139"/>
        <v>107000</v>
      </c>
      <c r="M177" s="51">
        <f t="shared" si="139"/>
        <v>107000</v>
      </c>
      <c r="N177" s="51">
        <f t="shared" si="139"/>
        <v>107000</v>
      </c>
      <c r="O177" s="259">
        <f t="shared" si="120"/>
        <v>1284000</v>
      </c>
      <c r="P177" s="50">
        <f t="shared" si="117"/>
        <v>0.07</v>
      </c>
    </row>
    <row r="178" spans="1:16" ht="15">
      <c r="A178" s="163" t="s">
        <v>417</v>
      </c>
      <c r="B178" s="258">
        <v>647928</v>
      </c>
      <c r="C178" s="51">
        <f aca="true" t="shared" si="140" ref="C178:N178">ROUND(((+$B$178*$B$58)+$B$178)/12,-3)</f>
        <v>58000</v>
      </c>
      <c r="D178" s="51">
        <f t="shared" si="140"/>
        <v>58000</v>
      </c>
      <c r="E178" s="51">
        <f t="shared" si="140"/>
        <v>58000</v>
      </c>
      <c r="F178" s="51">
        <f t="shared" si="140"/>
        <v>58000</v>
      </c>
      <c r="G178" s="51">
        <f t="shared" si="140"/>
        <v>58000</v>
      </c>
      <c r="H178" s="51">
        <f t="shared" si="140"/>
        <v>58000</v>
      </c>
      <c r="I178" s="51">
        <f t="shared" si="140"/>
        <v>58000</v>
      </c>
      <c r="J178" s="51">
        <f t="shared" si="140"/>
        <v>58000</v>
      </c>
      <c r="K178" s="51">
        <f t="shared" si="140"/>
        <v>58000</v>
      </c>
      <c r="L178" s="51">
        <f t="shared" si="140"/>
        <v>58000</v>
      </c>
      <c r="M178" s="51">
        <f t="shared" si="140"/>
        <v>58000</v>
      </c>
      <c r="N178" s="51">
        <f t="shared" si="140"/>
        <v>58000</v>
      </c>
      <c r="O178" s="259">
        <f t="shared" si="120"/>
        <v>696000</v>
      </c>
      <c r="P178" s="50">
        <f t="shared" si="117"/>
        <v>0.07419342889950735</v>
      </c>
    </row>
    <row r="179" spans="1:16" ht="15">
      <c r="A179" s="163" t="s">
        <v>45</v>
      </c>
      <c r="B179" s="258">
        <v>4367000</v>
      </c>
      <c r="C179" s="51">
        <v>41000</v>
      </c>
      <c r="D179" s="51">
        <v>41000</v>
      </c>
      <c r="E179" s="51">
        <v>41000</v>
      </c>
      <c r="F179" s="51">
        <v>41000</v>
      </c>
      <c r="G179" s="51">
        <v>41000</v>
      </c>
      <c r="H179" s="51">
        <v>41000</v>
      </c>
      <c r="I179" s="51">
        <v>41000</v>
      </c>
      <c r="J179" s="51">
        <v>41000</v>
      </c>
      <c r="K179" s="51">
        <v>41000</v>
      </c>
      <c r="L179" s="51">
        <v>41000</v>
      </c>
      <c r="M179" s="51">
        <v>41000</v>
      </c>
      <c r="N179" s="51">
        <v>41000</v>
      </c>
      <c r="O179" s="259">
        <f t="shared" si="120"/>
        <v>492000</v>
      </c>
      <c r="P179" s="50">
        <f t="shared" si="117"/>
        <v>-0.8873368445156858</v>
      </c>
    </row>
    <row r="180" spans="1:16" ht="15">
      <c r="A180" s="163" t="s">
        <v>488</v>
      </c>
      <c r="B180" s="258">
        <v>1833600</v>
      </c>
      <c r="C180" s="51">
        <f aca="true" t="shared" si="141" ref="C180:N180">ROUND(((+$B$180*$B$58)+$B$180)/12,-3)</f>
        <v>163000</v>
      </c>
      <c r="D180" s="51">
        <f t="shared" si="141"/>
        <v>163000</v>
      </c>
      <c r="E180" s="51">
        <f t="shared" si="141"/>
        <v>163000</v>
      </c>
      <c r="F180" s="51">
        <f t="shared" si="141"/>
        <v>163000</v>
      </c>
      <c r="G180" s="51">
        <f t="shared" si="141"/>
        <v>163000</v>
      </c>
      <c r="H180" s="51">
        <f t="shared" si="141"/>
        <v>163000</v>
      </c>
      <c r="I180" s="51">
        <f t="shared" si="141"/>
        <v>163000</v>
      </c>
      <c r="J180" s="51">
        <f t="shared" si="141"/>
        <v>163000</v>
      </c>
      <c r="K180" s="51">
        <f t="shared" si="141"/>
        <v>163000</v>
      </c>
      <c r="L180" s="51">
        <f t="shared" si="141"/>
        <v>163000</v>
      </c>
      <c r="M180" s="51">
        <f t="shared" si="141"/>
        <v>163000</v>
      </c>
      <c r="N180" s="51">
        <f t="shared" si="141"/>
        <v>163000</v>
      </c>
      <c r="O180" s="259">
        <f t="shared" si="120"/>
        <v>1956000</v>
      </c>
      <c r="P180" s="50">
        <f t="shared" si="117"/>
        <v>0.06675392670157068</v>
      </c>
    </row>
    <row r="181" spans="1:16" ht="15">
      <c r="A181" s="163" t="s">
        <v>486</v>
      </c>
      <c r="B181" s="258">
        <v>1560000</v>
      </c>
      <c r="C181" s="51">
        <f aca="true" t="shared" si="142" ref="C181:N181">ROUND(((+$B$181*$B$58)+$B$181)/12,-3)</f>
        <v>139000</v>
      </c>
      <c r="D181" s="51">
        <f t="shared" si="142"/>
        <v>139000</v>
      </c>
      <c r="E181" s="51">
        <f t="shared" si="142"/>
        <v>139000</v>
      </c>
      <c r="F181" s="51">
        <f t="shared" si="142"/>
        <v>139000</v>
      </c>
      <c r="G181" s="51">
        <f t="shared" si="142"/>
        <v>139000</v>
      </c>
      <c r="H181" s="51">
        <f t="shared" si="142"/>
        <v>139000</v>
      </c>
      <c r="I181" s="51">
        <f t="shared" si="142"/>
        <v>139000</v>
      </c>
      <c r="J181" s="51">
        <f t="shared" si="142"/>
        <v>139000</v>
      </c>
      <c r="K181" s="51">
        <f t="shared" si="142"/>
        <v>139000</v>
      </c>
      <c r="L181" s="51">
        <f t="shared" si="142"/>
        <v>139000</v>
      </c>
      <c r="M181" s="51">
        <f t="shared" si="142"/>
        <v>139000</v>
      </c>
      <c r="N181" s="51">
        <f t="shared" si="142"/>
        <v>139000</v>
      </c>
      <c r="O181" s="259">
        <f t="shared" si="120"/>
        <v>1668000</v>
      </c>
      <c r="P181" s="50">
        <f t="shared" si="117"/>
        <v>0.06923076923076923</v>
      </c>
    </row>
    <row r="182" spans="1:16" ht="15">
      <c r="A182" s="163" t="s">
        <v>487</v>
      </c>
      <c r="B182" s="258">
        <v>1920000</v>
      </c>
      <c r="C182" s="51">
        <f aca="true" t="shared" si="143" ref="C182:N182">ROUND(((+$B$182*$B$58)+$B$182)/12,-3)</f>
        <v>171000</v>
      </c>
      <c r="D182" s="51">
        <f t="shared" si="143"/>
        <v>171000</v>
      </c>
      <c r="E182" s="51">
        <f t="shared" si="143"/>
        <v>171000</v>
      </c>
      <c r="F182" s="51">
        <f t="shared" si="143"/>
        <v>171000</v>
      </c>
      <c r="G182" s="51">
        <f t="shared" si="143"/>
        <v>171000</v>
      </c>
      <c r="H182" s="51">
        <f t="shared" si="143"/>
        <v>171000</v>
      </c>
      <c r="I182" s="51">
        <f t="shared" si="143"/>
        <v>171000</v>
      </c>
      <c r="J182" s="51">
        <f t="shared" si="143"/>
        <v>171000</v>
      </c>
      <c r="K182" s="51">
        <f t="shared" si="143"/>
        <v>171000</v>
      </c>
      <c r="L182" s="51">
        <f t="shared" si="143"/>
        <v>171000</v>
      </c>
      <c r="M182" s="51">
        <f t="shared" si="143"/>
        <v>171000</v>
      </c>
      <c r="N182" s="51">
        <f t="shared" si="143"/>
        <v>171000</v>
      </c>
      <c r="O182" s="259">
        <f t="shared" si="120"/>
        <v>2052000</v>
      </c>
      <c r="P182" s="50">
        <f t="shared" si="117"/>
        <v>0.06875</v>
      </c>
    </row>
    <row r="183" spans="1:16" ht="15">
      <c r="A183" s="163" t="s">
        <v>28</v>
      </c>
      <c r="B183" s="260">
        <f aca="true" t="shared" si="144" ref="B183:O183">SUM(B184:B188)</f>
        <v>8579000</v>
      </c>
      <c r="C183" s="51">
        <f t="shared" si="144"/>
        <v>1366166.6666666667</v>
      </c>
      <c r="D183" s="51">
        <f t="shared" si="144"/>
        <v>1366166.6666666667</v>
      </c>
      <c r="E183" s="51">
        <f t="shared" si="144"/>
        <v>1366166.6666666667</v>
      </c>
      <c r="F183" s="51">
        <f t="shared" si="144"/>
        <v>1366166.6666666667</v>
      </c>
      <c r="G183" s="51">
        <f t="shared" si="144"/>
        <v>419166.6666666667</v>
      </c>
      <c r="H183" s="51">
        <f t="shared" si="144"/>
        <v>419166.6666666667</v>
      </c>
      <c r="I183" s="51">
        <f t="shared" si="144"/>
        <v>419166.6666666667</v>
      </c>
      <c r="J183" s="51">
        <f t="shared" si="144"/>
        <v>799166.6666666667</v>
      </c>
      <c r="K183" s="51">
        <f t="shared" si="144"/>
        <v>599166.6666666667</v>
      </c>
      <c r="L183" s="51">
        <f t="shared" si="144"/>
        <v>599166.6666666667</v>
      </c>
      <c r="M183" s="51">
        <f t="shared" si="144"/>
        <v>419166.6666666667</v>
      </c>
      <c r="N183" s="51">
        <f t="shared" si="144"/>
        <v>419166.6666666667</v>
      </c>
      <c r="O183" s="260">
        <f t="shared" si="144"/>
        <v>9558000</v>
      </c>
      <c r="P183" s="50">
        <f aca="true" t="shared" si="145" ref="P183:P227">+(O183-B183)/B183</f>
        <v>0.1141158643198508</v>
      </c>
    </row>
    <row r="184" spans="1:16" ht="15">
      <c r="A184" s="163" t="s">
        <v>47</v>
      </c>
      <c r="B184" s="258">
        <v>100000</v>
      </c>
      <c r="C184" s="51">
        <f aca="true" t="shared" si="146" ref="C184:N184">ROUND(((+$B$184*$B$58)+$B$184)/12,-3)</f>
        <v>9000</v>
      </c>
      <c r="D184" s="51">
        <f t="shared" si="146"/>
        <v>9000</v>
      </c>
      <c r="E184" s="51">
        <f t="shared" si="146"/>
        <v>9000</v>
      </c>
      <c r="F184" s="51">
        <f t="shared" si="146"/>
        <v>9000</v>
      </c>
      <c r="G184" s="51">
        <f t="shared" si="146"/>
        <v>9000</v>
      </c>
      <c r="H184" s="51">
        <f t="shared" si="146"/>
        <v>9000</v>
      </c>
      <c r="I184" s="51">
        <f t="shared" si="146"/>
        <v>9000</v>
      </c>
      <c r="J184" s="51">
        <f t="shared" si="146"/>
        <v>9000</v>
      </c>
      <c r="K184" s="51">
        <f t="shared" si="146"/>
        <v>9000</v>
      </c>
      <c r="L184" s="51">
        <f t="shared" si="146"/>
        <v>9000</v>
      </c>
      <c r="M184" s="51">
        <f t="shared" si="146"/>
        <v>9000</v>
      </c>
      <c r="N184" s="51">
        <f t="shared" si="146"/>
        <v>9000</v>
      </c>
      <c r="O184" s="259">
        <f t="shared" si="120"/>
        <v>108000</v>
      </c>
      <c r="P184" s="50">
        <f t="shared" si="145"/>
        <v>0.08</v>
      </c>
    </row>
    <row r="185" spans="1:16" ht="15">
      <c r="A185" s="163" t="s">
        <v>49</v>
      </c>
      <c r="B185" s="258">
        <f>3970000+550000</f>
        <v>4520000</v>
      </c>
      <c r="C185" s="51">
        <f aca="true" t="shared" si="147" ref="C185:N185">ROUND(((+$B$185*$B$58)+$B$185)/12,-3)</f>
        <v>403000</v>
      </c>
      <c r="D185" s="51">
        <f t="shared" si="147"/>
        <v>403000</v>
      </c>
      <c r="E185" s="51">
        <f t="shared" si="147"/>
        <v>403000</v>
      </c>
      <c r="F185" s="51">
        <f t="shared" si="147"/>
        <v>403000</v>
      </c>
      <c r="G185" s="51">
        <f t="shared" si="147"/>
        <v>403000</v>
      </c>
      <c r="H185" s="51">
        <f t="shared" si="147"/>
        <v>403000</v>
      </c>
      <c r="I185" s="51">
        <f t="shared" si="147"/>
        <v>403000</v>
      </c>
      <c r="J185" s="51">
        <f t="shared" si="147"/>
        <v>403000</v>
      </c>
      <c r="K185" s="51">
        <f t="shared" si="147"/>
        <v>403000</v>
      </c>
      <c r="L185" s="51">
        <f t="shared" si="147"/>
        <v>403000</v>
      </c>
      <c r="M185" s="51">
        <f t="shared" si="147"/>
        <v>403000</v>
      </c>
      <c r="N185" s="51">
        <f t="shared" si="147"/>
        <v>403000</v>
      </c>
      <c r="O185" s="259">
        <f t="shared" si="120"/>
        <v>4836000</v>
      </c>
      <c r="P185" s="50">
        <f t="shared" si="145"/>
        <v>0.06991150442477877</v>
      </c>
    </row>
    <row r="186" spans="1:16" ht="15">
      <c r="A186" s="163" t="s">
        <v>231</v>
      </c>
      <c r="B186" s="258">
        <v>3541000</v>
      </c>
      <c r="C186" s="51">
        <f>ROUND(((+$B$186*$B$58)+$B$186)/4,-3)</f>
        <v>947000</v>
      </c>
      <c r="D186" s="51">
        <f aca="true" t="shared" si="148" ref="D186:F186">ROUND(((+$B$186*$B$58)+$B$186)/4,-3)</f>
        <v>947000</v>
      </c>
      <c r="E186" s="51">
        <f t="shared" si="148"/>
        <v>947000</v>
      </c>
      <c r="F186" s="51">
        <f t="shared" si="148"/>
        <v>947000</v>
      </c>
      <c r="G186" s="51"/>
      <c r="H186" s="51"/>
      <c r="I186" s="51">
        <v>0</v>
      </c>
      <c r="J186" s="51"/>
      <c r="K186" s="51"/>
      <c r="L186" s="51"/>
      <c r="M186" s="51"/>
      <c r="N186" s="51"/>
      <c r="O186" s="259">
        <f t="shared" si="120"/>
        <v>3788000</v>
      </c>
      <c r="P186" s="50">
        <f t="shared" si="145"/>
        <v>0.06975430669302457</v>
      </c>
    </row>
    <row r="187" spans="1:16" ht="15">
      <c r="A187" s="163" t="s">
        <v>48</v>
      </c>
      <c r="B187" s="258">
        <v>80000</v>
      </c>
      <c r="C187" s="51">
        <f aca="true" t="shared" si="149" ref="C187:N187">ROUND(((+$B$187*$B$58)+$B$187),-3)/12</f>
        <v>7166.666666666667</v>
      </c>
      <c r="D187" s="51">
        <f t="shared" si="149"/>
        <v>7166.666666666667</v>
      </c>
      <c r="E187" s="51">
        <f t="shared" si="149"/>
        <v>7166.666666666667</v>
      </c>
      <c r="F187" s="51">
        <f t="shared" si="149"/>
        <v>7166.666666666667</v>
      </c>
      <c r="G187" s="51">
        <f t="shared" si="149"/>
        <v>7166.666666666667</v>
      </c>
      <c r="H187" s="51">
        <f t="shared" si="149"/>
        <v>7166.666666666667</v>
      </c>
      <c r="I187" s="51">
        <f t="shared" si="149"/>
        <v>7166.666666666667</v>
      </c>
      <c r="J187" s="51">
        <f t="shared" si="149"/>
        <v>7166.666666666667</v>
      </c>
      <c r="K187" s="51">
        <f t="shared" si="149"/>
        <v>7166.666666666667</v>
      </c>
      <c r="L187" s="51">
        <f t="shared" si="149"/>
        <v>7166.666666666667</v>
      </c>
      <c r="M187" s="51">
        <f t="shared" si="149"/>
        <v>7166.666666666667</v>
      </c>
      <c r="N187" s="51">
        <f t="shared" si="149"/>
        <v>7166.666666666667</v>
      </c>
      <c r="O187" s="259">
        <f t="shared" si="120"/>
        <v>86000</v>
      </c>
      <c r="P187" s="50">
        <f t="shared" si="145"/>
        <v>0.075</v>
      </c>
    </row>
    <row r="188" spans="1:16" ht="15">
      <c r="A188" s="291" t="s">
        <v>306</v>
      </c>
      <c r="B188" s="258">
        <v>338000</v>
      </c>
      <c r="C188" s="51"/>
      <c r="D188" s="51"/>
      <c r="E188" s="51"/>
      <c r="F188" s="51"/>
      <c r="G188" s="51"/>
      <c r="H188" s="51"/>
      <c r="I188" s="51"/>
      <c r="J188" s="51">
        <v>380000</v>
      </c>
      <c r="K188" s="51">
        <v>180000</v>
      </c>
      <c r="L188" s="51">
        <v>180000</v>
      </c>
      <c r="M188" s="51"/>
      <c r="N188" s="51"/>
      <c r="O188" s="259">
        <f t="shared" si="120"/>
        <v>740000</v>
      </c>
      <c r="P188" s="50">
        <f t="shared" si="145"/>
        <v>1.1893491124260356</v>
      </c>
    </row>
    <row r="189" spans="1:16" ht="15">
      <c r="A189" s="163" t="s">
        <v>295</v>
      </c>
      <c r="B189" s="260">
        <f aca="true" t="shared" si="150" ref="B189:O189">SUM(B190:B198)</f>
        <v>41415964</v>
      </c>
      <c r="C189" s="51">
        <f t="shared" si="150"/>
        <v>10625000</v>
      </c>
      <c r="D189" s="51">
        <f t="shared" si="150"/>
        <v>5133000</v>
      </c>
      <c r="E189" s="51">
        <f t="shared" si="150"/>
        <v>18906000</v>
      </c>
      <c r="F189" s="51">
        <f t="shared" si="150"/>
        <v>733000</v>
      </c>
      <c r="G189" s="51">
        <f t="shared" si="150"/>
        <v>0</v>
      </c>
      <c r="H189" s="51">
        <f t="shared" si="150"/>
        <v>0</v>
      </c>
      <c r="I189" s="51">
        <f t="shared" si="150"/>
        <v>3515000</v>
      </c>
      <c r="J189" s="51">
        <f t="shared" si="150"/>
        <v>0</v>
      </c>
      <c r="K189" s="51">
        <f t="shared" si="150"/>
        <v>0</v>
      </c>
      <c r="L189" s="51">
        <f t="shared" si="150"/>
        <v>733000</v>
      </c>
      <c r="M189" s="51">
        <f t="shared" si="150"/>
        <v>0</v>
      </c>
      <c r="N189" s="51">
        <f t="shared" si="150"/>
        <v>5000000</v>
      </c>
      <c r="O189" s="260">
        <f t="shared" si="150"/>
        <v>44645000</v>
      </c>
      <c r="P189" s="50">
        <f t="shared" si="145"/>
        <v>0.07796597466619394</v>
      </c>
    </row>
    <row r="190" spans="1:16" ht="15">
      <c r="A190" s="163" t="s">
        <v>296</v>
      </c>
      <c r="B190" s="258">
        <v>400000</v>
      </c>
      <c r="C190" s="51">
        <f>ROUND(((+$B$190*$B$58)+$B$190),-3)</f>
        <v>428000</v>
      </c>
      <c r="D190" s="59"/>
      <c r="E190" s="51"/>
      <c r="F190" s="59"/>
      <c r="G190" s="59"/>
      <c r="H190" s="59">
        <v>0</v>
      </c>
      <c r="I190" s="59"/>
      <c r="J190" s="51"/>
      <c r="K190" s="59"/>
      <c r="L190" s="59"/>
      <c r="M190" s="59"/>
      <c r="N190" s="59"/>
      <c r="O190" s="259">
        <f t="shared" si="120"/>
        <v>428000</v>
      </c>
      <c r="P190" s="50">
        <f t="shared" si="145"/>
        <v>0.07</v>
      </c>
    </row>
    <row r="191" spans="1:16" ht="15">
      <c r="A191" s="163" t="s">
        <v>490</v>
      </c>
      <c r="B191" s="258">
        <v>2742000</v>
      </c>
      <c r="C191" s="51">
        <v>0</v>
      </c>
      <c r="D191" s="51">
        <f>ROUND(((+$B$191*$B$58)+$B$191)/4,-3)</f>
        <v>733000</v>
      </c>
      <c r="E191" s="51"/>
      <c r="F191" s="51">
        <f>ROUND(((+$B$191*$B$58)+$B$191)/4,-3)</f>
        <v>733000</v>
      </c>
      <c r="G191" s="59"/>
      <c r="H191" s="59"/>
      <c r="I191" s="51">
        <f>ROUND(((+$B$191*$B$58)+$B$191)/4,-3)</f>
        <v>733000</v>
      </c>
      <c r="J191" s="51"/>
      <c r="K191" s="59"/>
      <c r="L191" s="51">
        <f>ROUND(((+$B$191*$B$58)+$B$191)/4,-3)</f>
        <v>733000</v>
      </c>
      <c r="M191" s="59"/>
      <c r="N191" s="59"/>
      <c r="O191" s="259">
        <f t="shared" si="120"/>
        <v>2932000</v>
      </c>
      <c r="P191" s="50">
        <f t="shared" si="145"/>
        <v>0.06929248723559446</v>
      </c>
    </row>
    <row r="192" spans="1:16" ht="15">
      <c r="A192" s="297" t="s">
        <v>489</v>
      </c>
      <c r="B192" s="258">
        <v>2600000</v>
      </c>
      <c r="C192" s="51">
        <v>2782000</v>
      </c>
      <c r="D192" s="73">
        <v>0</v>
      </c>
      <c r="E192" s="73">
        <v>0</v>
      </c>
      <c r="F192" s="73">
        <v>0</v>
      </c>
      <c r="G192" s="73">
        <v>0</v>
      </c>
      <c r="H192" s="73">
        <v>0</v>
      </c>
      <c r="I192" s="51">
        <v>2782000</v>
      </c>
      <c r="J192" s="73">
        <v>0</v>
      </c>
      <c r="K192" s="73">
        <v>0</v>
      </c>
      <c r="L192" s="73">
        <v>0</v>
      </c>
      <c r="M192" s="73">
        <v>0</v>
      </c>
      <c r="N192" s="73">
        <v>0</v>
      </c>
      <c r="O192" s="259">
        <f t="shared" si="120"/>
        <v>5564000</v>
      </c>
      <c r="P192" s="50">
        <f t="shared" si="145"/>
        <v>1.14</v>
      </c>
    </row>
    <row r="193" spans="1:16" ht="15">
      <c r="A193" s="163" t="s">
        <v>493</v>
      </c>
      <c r="B193" s="258">
        <v>3517241</v>
      </c>
      <c r="C193" s="51"/>
      <c r="D193" s="51">
        <v>4400000</v>
      </c>
      <c r="E193" s="73">
        <v>0</v>
      </c>
      <c r="F193" s="73">
        <v>0</v>
      </c>
      <c r="G193" s="73">
        <v>0</v>
      </c>
      <c r="H193" s="73">
        <v>0</v>
      </c>
      <c r="I193" s="73">
        <v>0</v>
      </c>
      <c r="J193" s="73">
        <v>0</v>
      </c>
      <c r="K193" s="73">
        <v>0</v>
      </c>
      <c r="L193" s="73">
        <v>0</v>
      </c>
      <c r="M193" s="73">
        <v>0</v>
      </c>
      <c r="N193" s="73">
        <v>0</v>
      </c>
      <c r="O193" s="259">
        <f t="shared" si="120"/>
        <v>4400000</v>
      </c>
      <c r="P193" s="50">
        <f t="shared" si="145"/>
        <v>0.2509805270665274</v>
      </c>
    </row>
    <row r="194" spans="1:16" ht="15">
      <c r="A194" s="163" t="s">
        <v>492</v>
      </c>
      <c r="B194" s="258">
        <v>9300000</v>
      </c>
      <c r="C194" s="73"/>
      <c r="D194" s="73"/>
      <c r="E194" s="51">
        <f>ROUND(((+$B$194*$B$58)+$B$194),-3)</f>
        <v>9951000</v>
      </c>
      <c r="F194" s="73"/>
      <c r="G194" s="73"/>
      <c r="H194" s="51">
        <v>0</v>
      </c>
      <c r="I194" s="73"/>
      <c r="J194" s="73"/>
      <c r="K194" s="73"/>
      <c r="L194" s="73"/>
      <c r="M194" s="73"/>
      <c r="N194" s="73"/>
      <c r="O194" s="259">
        <f t="shared" si="120"/>
        <v>9951000</v>
      </c>
      <c r="P194" s="50">
        <f t="shared" si="145"/>
        <v>0.07</v>
      </c>
    </row>
    <row r="195" spans="1:16" ht="15">
      <c r="A195" s="163" t="s">
        <v>573</v>
      </c>
      <c r="B195" s="258">
        <v>6930000</v>
      </c>
      <c r="C195" s="51">
        <f>ROUND(((+$B$195*$B$58)+$B$195),-3)</f>
        <v>7415000</v>
      </c>
      <c r="D195" s="73">
        <v>0</v>
      </c>
      <c r="E195" s="73">
        <v>0</v>
      </c>
      <c r="F195" s="73">
        <v>0</v>
      </c>
      <c r="G195" s="51">
        <v>0</v>
      </c>
      <c r="H195" s="73">
        <v>0</v>
      </c>
      <c r="I195" s="73">
        <v>0</v>
      </c>
      <c r="J195" s="73">
        <v>0</v>
      </c>
      <c r="K195" s="73">
        <v>0</v>
      </c>
      <c r="L195" s="73">
        <v>0</v>
      </c>
      <c r="M195" s="73">
        <v>0</v>
      </c>
      <c r="N195" s="73">
        <v>0</v>
      </c>
      <c r="O195" s="259">
        <f t="shared" si="120"/>
        <v>7415000</v>
      </c>
      <c r="P195" s="50">
        <f t="shared" si="145"/>
        <v>0.06998556998556998</v>
      </c>
    </row>
    <row r="196" spans="1:16" ht="15">
      <c r="A196" s="163" t="s">
        <v>651</v>
      </c>
      <c r="B196" s="258">
        <v>4000000</v>
      </c>
      <c r="C196" s="51"/>
      <c r="D196" s="73"/>
      <c r="E196" s="73"/>
      <c r="F196" s="73"/>
      <c r="G196" s="51"/>
      <c r="H196" s="73"/>
      <c r="I196" s="73"/>
      <c r="J196" s="73"/>
      <c r="K196" s="73"/>
      <c r="L196" s="73"/>
      <c r="M196" s="73"/>
      <c r="N196" s="73">
        <v>5000000</v>
      </c>
      <c r="O196" s="259">
        <f t="shared" si="120"/>
        <v>5000000</v>
      </c>
      <c r="P196" s="50">
        <f t="shared" si="145"/>
        <v>0.25</v>
      </c>
    </row>
    <row r="197" spans="1:16" ht="15">
      <c r="A197" s="163" t="s">
        <v>615</v>
      </c>
      <c r="B197" s="258">
        <v>6500000</v>
      </c>
      <c r="C197" s="51"/>
      <c r="D197" s="73"/>
      <c r="E197" s="51">
        <f>ROUND(((+$B$197*$B$58)+$B$197),-3)</f>
        <v>6955000</v>
      </c>
      <c r="F197" s="73"/>
      <c r="G197" s="51"/>
      <c r="H197" s="73"/>
      <c r="I197" s="73"/>
      <c r="J197" s="73"/>
      <c r="K197" s="73"/>
      <c r="L197" s="73"/>
      <c r="M197" s="73"/>
      <c r="N197" s="73"/>
      <c r="O197" s="259">
        <f t="shared" si="120"/>
        <v>6955000</v>
      </c>
      <c r="P197" s="50">
        <f t="shared" si="145"/>
        <v>0.07</v>
      </c>
    </row>
    <row r="198" spans="1:16" ht="15">
      <c r="A198" s="298" t="s">
        <v>491</v>
      </c>
      <c r="B198" s="258">
        <v>5426723</v>
      </c>
      <c r="C198" s="73">
        <v>0</v>
      </c>
      <c r="D198" s="73">
        <v>0</v>
      </c>
      <c r="E198" s="51">
        <v>2000000</v>
      </c>
      <c r="F198" s="81">
        <v>0</v>
      </c>
      <c r="G198" s="73">
        <v>0</v>
      </c>
      <c r="H198" s="73">
        <v>0</v>
      </c>
      <c r="I198" s="73">
        <v>0</v>
      </c>
      <c r="J198" s="51">
        <v>0</v>
      </c>
      <c r="K198" s="73">
        <v>0</v>
      </c>
      <c r="L198" s="73">
        <v>0</v>
      </c>
      <c r="M198" s="73">
        <v>0</v>
      </c>
      <c r="N198" s="73">
        <v>0</v>
      </c>
      <c r="O198" s="259">
        <f t="shared" si="120"/>
        <v>2000000</v>
      </c>
      <c r="P198" s="50">
        <f t="shared" si="145"/>
        <v>-0.6314534572706217</v>
      </c>
    </row>
    <row r="199" spans="1:18" ht="15">
      <c r="A199" s="163" t="s">
        <v>232</v>
      </c>
      <c r="B199" s="260">
        <f aca="true" t="shared" si="151" ref="B199:O199">SUM(B200:B227)</f>
        <v>56788590</v>
      </c>
      <c r="C199" s="51">
        <f t="shared" si="151"/>
        <v>7332000</v>
      </c>
      <c r="D199" s="51">
        <f t="shared" si="151"/>
        <v>10927000</v>
      </c>
      <c r="E199" s="51">
        <f t="shared" si="151"/>
        <v>14176000</v>
      </c>
      <c r="F199" s="51">
        <f t="shared" si="151"/>
        <v>9323000</v>
      </c>
      <c r="G199" s="51">
        <f t="shared" si="151"/>
        <v>2728000</v>
      </c>
      <c r="H199" s="51">
        <f t="shared" si="151"/>
        <v>4478000</v>
      </c>
      <c r="I199" s="51">
        <f t="shared" si="151"/>
        <v>2728000</v>
      </c>
      <c r="J199" s="51">
        <f t="shared" si="151"/>
        <v>7190000</v>
      </c>
      <c r="K199" s="51">
        <f t="shared" si="151"/>
        <v>5119000</v>
      </c>
      <c r="L199" s="51">
        <f t="shared" si="151"/>
        <v>4545000</v>
      </c>
      <c r="M199" s="51">
        <f t="shared" si="151"/>
        <v>2728000</v>
      </c>
      <c r="N199" s="51">
        <f t="shared" si="151"/>
        <v>3090000</v>
      </c>
      <c r="O199" s="260">
        <f t="shared" si="151"/>
        <v>74364000</v>
      </c>
      <c r="P199" s="50">
        <f t="shared" si="145"/>
        <v>0.3094884025118426</v>
      </c>
      <c r="Q199" s="40"/>
      <c r="R199" s="42"/>
    </row>
    <row r="200" spans="1:18" ht="29">
      <c r="A200" s="298" t="s">
        <v>374</v>
      </c>
      <c r="B200" s="258">
        <f>230000+97000</f>
        <v>327000</v>
      </c>
      <c r="C200" s="51">
        <f>ROUND(((+$B$200*$B$58)+$B$200)/12,-3)+3000</f>
        <v>32000</v>
      </c>
      <c r="D200" s="51">
        <f aca="true" t="shared" si="152" ref="D200:N200">ROUND(((+$B$200*$B$58)+$B$200)/12,-3)</f>
        <v>29000</v>
      </c>
      <c r="E200" s="51">
        <f t="shared" si="152"/>
        <v>29000</v>
      </c>
      <c r="F200" s="51">
        <f t="shared" si="152"/>
        <v>29000</v>
      </c>
      <c r="G200" s="51">
        <f t="shared" si="152"/>
        <v>29000</v>
      </c>
      <c r="H200" s="51">
        <f t="shared" si="152"/>
        <v>29000</v>
      </c>
      <c r="I200" s="51">
        <f t="shared" si="152"/>
        <v>29000</v>
      </c>
      <c r="J200" s="51">
        <f t="shared" si="152"/>
        <v>29000</v>
      </c>
      <c r="K200" s="51">
        <f t="shared" si="152"/>
        <v>29000</v>
      </c>
      <c r="L200" s="51">
        <f t="shared" si="152"/>
        <v>29000</v>
      </c>
      <c r="M200" s="51">
        <f t="shared" si="152"/>
        <v>29000</v>
      </c>
      <c r="N200" s="51">
        <f t="shared" si="152"/>
        <v>29000</v>
      </c>
      <c r="O200" s="259">
        <f aca="true" t="shared" si="153" ref="O200:O225">SUM(C200:N200)</f>
        <v>351000</v>
      </c>
      <c r="P200" s="50">
        <f t="shared" si="145"/>
        <v>0.07339449541284404</v>
      </c>
      <c r="R200" s="40"/>
    </row>
    <row r="201" spans="1:18" ht="15">
      <c r="A201" s="298" t="s">
        <v>494</v>
      </c>
      <c r="B201" s="258">
        <v>4430800</v>
      </c>
      <c r="C201" s="51">
        <v>206000</v>
      </c>
      <c r="D201" s="51">
        <v>568000</v>
      </c>
      <c r="E201" s="51">
        <v>206000</v>
      </c>
      <c r="F201" s="51">
        <v>568000</v>
      </c>
      <c r="G201" s="51">
        <v>206000</v>
      </c>
      <c r="H201" s="51">
        <v>568000</v>
      </c>
      <c r="I201" s="51">
        <v>206000</v>
      </c>
      <c r="J201" s="51">
        <v>568000</v>
      </c>
      <c r="K201" s="51">
        <v>206000</v>
      </c>
      <c r="L201" s="51">
        <v>568000</v>
      </c>
      <c r="M201" s="51">
        <v>206000</v>
      </c>
      <c r="N201" s="51">
        <v>568000</v>
      </c>
      <c r="O201" s="259">
        <f t="shared" si="153"/>
        <v>4644000</v>
      </c>
      <c r="P201" s="50">
        <f t="shared" si="145"/>
        <v>0.04811772140471247</v>
      </c>
      <c r="R201" s="47"/>
    </row>
    <row r="202" spans="1:18" ht="15">
      <c r="A202" s="298" t="s">
        <v>473</v>
      </c>
      <c r="B202" s="258">
        <v>1575000</v>
      </c>
      <c r="C202" s="51">
        <v>0</v>
      </c>
      <c r="D202" s="51">
        <f>ROUND(((+$B$202*$B$58)+$B$202)/3,-3)</f>
        <v>562000</v>
      </c>
      <c r="E202" s="51">
        <f aca="true" t="shared" si="154" ref="E202:F202">ROUND(((+$B$202*$B$58)+$B$202)/3,-3)</f>
        <v>562000</v>
      </c>
      <c r="F202" s="51">
        <f t="shared" si="154"/>
        <v>562000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259">
        <f t="shared" si="153"/>
        <v>1686000</v>
      </c>
      <c r="P202" s="50">
        <f t="shared" si="145"/>
        <v>0.07047619047619047</v>
      </c>
      <c r="R202" s="47"/>
    </row>
    <row r="203" spans="1:18" ht="15">
      <c r="A203" s="298" t="s">
        <v>617</v>
      </c>
      <c r="B203" s="258">
        <v>3780000</v>
      </c>
      <c r="C203" s="51">
        <v>350000</v>
      </c>
      <c r="D203" s="51">
        <v>350000</v>
      </c>
      <c r="E203" s="51">
        <v>350000</v>
      </c>
      <c r="F203" s="51">
        <v>350000</v>
      </c>
      <c r="G203" s="51">
        <v>350000</v>
      </c>
      <c r="H203" s="51">
        <v>350000</v>
      </c>
      <c r="I203" s="51">
        <v>350000</v>
      </c>
      <c r="J203" s="51">
        <v>350000</v>
      </c>
      <c r="K203" s="51">
        <v>350000</v>
      </c>
      <c r="L203" s="51">
        <v>350000</v>
      </c>
      <c r="M203" s="51">
        <v>350000</v>
      </c>
      <c r="N203" s="51">
        <v>350000</v>
      </c>
      <c r="O203" s="259">
        <f t="shared" si="153"/>
        <v>4200000</v>
      </c>
      <c r="P203" s="50">
        <f t="shared" si="145"/>
        <v>0.1111111111111111</v>
      </c>
      <c r="R203" s="47"/>
    </row>
    <row r="204" spans="1:16" ht="15">
      <c r="A204" s="298" t="s">
        <v>450</v>
      </c>
      <c r="B204" s="258">
        <v>1635000</v>
      </c>
      <c r="C204" s="51">
        <v>0</v>
      </c>
      <c r="D204" s="51">
        <f>ROUND(((+$B$204*$B$58)+$B$204)/3,-3)</f>
        <v>583000</v>
      </c>
      <c r="E204" s="51">
        <f aca="true" t="shared" si="155" ref="E204:F204">ROUND(((+$B$204*$B$58)+$B$204)/3,-3)</f>
        <v>583000</v>
      </c>
      <c r="F204" s="51">
        <f t="shared" si="155"/>
        <v>583000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259">
        <f t="shared" si="153"/>
        <v>1749000</v>
      </c>
      <c r="P204" s="50">
        <f t="shared" si="145"/>
        <v>0.06972477064220184</v>
      </c>
    </row>
    <row r="205" spans="1:16" ht="15">
      <c r="A205" s="298" t="s">
        <v>495</v>
      </c>
      <c r="B205" s="258">
        <v>3780000</v>
      </c>
      <c r="C205" s="51">
        <v>350000</v>
      </c>
      <c r="D205" s="51">
        <v>350000</v>
      </c>
      <c r="E205" s="51">
        <v>350000</v>
      </c>
      <c r="F205" s="51">
        <v>350000</v>
      </c>
      <c r="G205" s="51">
        <v>350000</v>
      </c>
      <c r="H205" s="51">
        <v>350000</v>
      </c>
      <c r="I205" s="51">
        <v>350000</v>
      </c>
      <c r="J205" s="51">
        <v>350000</v>
      </c>
      <c r="K205" s="51">
        <v>350000</v>
      </c>
      <c r="L205" s="51">
        <v>350000</v>
      </c>
      <c r="M205" s="51">
        <v>350000</v>
      </c>
      <c r="N205" s="51">
        <v>350000</v>
      </c>
      <c r="O205" s="259">
        <f t="shared" si="153"/>
        <v>4200000</v>
      </c>
      <c r="P205" s="50">
        <f t="shared" si="145"/>
        <v>0.1111111111111111</v>
      </c>
    </row>
    <row r="206" spans="1:16" ht="15">
      <c r="A206" s="298" t="s">
        <v>451</v>
      </c>
      <c r="B206" s="258">
        <v>1449000</v>
      </c>
      <c r="C206" s="51">
        <v>0</v>
      </c>
      <c r="D206" s="51">
        <f>ROUND(((+$B$206*$B$58)+$B$206)/3,-3)</f>
        <v>517000</v>
      </c>
      <c r="E206" s="51">
        <f aca="true" t="shared" si="156" ref="E206:F206">ROUND(((+$B$206*$B$58)+$B$206)/3,-3)</f>
        <v>517000</v>
      </c>
      <c r="F206" s="51">
        <f t="shared" si="156"/>
        <v>517000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259">
        <f t="shared" si="153"/>
        <v>1551000</v>
      </c>
      <c r="P206" s="50">
        <f t="shared" si="145"/>
        <v>0.07039337474120083</v>
      </c>
    </row>
    <row r="207" spans="1:16" ht="15">
      <c r="A207" s="298" t="s">
        <v>623</v>
      </c>
      <c r="B207" s="258">
        <f>2231000+4200000</f>
        <v>6431000</v>
      </c>
      <c r="C207" s="51">
        <v>642000</v>
      </c>
      <c r="D207" s="51">
        <v>642000</v>
      </c>
      <c r="E207" s="51">
        <v>642000</v>
      </c>
      <c r="F207" s="51">
        <v>642000</v>
      </c>
      <c r="G207" s="51">
        <v>642000</v>
      </c>
      <c r="H207" s="51">
        <v>642000</v>
      </c>
      <c r="I207" s="51">
        <v>642000</v>
      </c>
      <c r="J207" s="51">
        <v>642000</v>
      </c>
      <c r="K207" s="51">
        <v>642000</v>
      </c>
      <c r="L207" s="51">
        <v>642000</v>
      </c>
      <c r="M207" s="51">
        <v>642000</v>
      </c>
      <c r="N207" s="51">
        <v>642000</v>
      </c>
      <c r="O207" s="259">
        <f t="shared" si="153"/>
        <v>7704000</v>
      </c>
      <c r="P207" s="50">
        <f t="shared" si="145"/>
        <v>0.19794744207743742</v>
      </c>
    </row>
    <row r="208" spans="1:16" ht="15">
      <c r="A208" s="298" t="s">
        <v>616</v>
      </c>
      <c r="B208" s="258">
        <v>1050000</v>
      </c>
      <c r="C208" s="51"/>
      <c r="D208" s="51">
        <f>ROUND(((+$B$208*$B$58)+$B$208)/3,-3)</f>
        <v>375000</v>
      </c>
      <c r="E208" s="51">
        <f aca="true" t="shared" si="157" ref="E208:F208">ROUND(((+$B$208*$B$58)+$B$208)/3,-3)</f>
        <v>375000</v>
      </c>
      <c r="F208" s="51">
        <f t="shared" si="157"/>
        <v>375000</v>
      </c>
      <c r="G208" s="51"/>
      <c r="H208" s="51"/>
      <c r="I208" s="51"/>
      <c r="J208" s="51"/>
      <c r="K208" s="51"/>
      <c r="L208" s="51"/>
      <c r="M208" s="51"/>
      <c r="N208" s="51"/>
      <c r="O208" s="259">
        <f t="shared" si="153"/>
        <v>1125000</v>
      </c>
      <c r="P208" s="50">
        <f t="shared" si="145"/>
        <v>0.07142857142857142</v>
      </c>
    </row>
    <row r="209" spans="1:16" ht="15">
      <c r="A209" s="298" t="s">
        <v>496</v>
      </c>
      <c r="B209" s="258">
        <v>990000</v>
      </c>
      <c r="C209" s="51">
        <v>0</v>
      </c>
      <c r="D209" s="51">
        <f>ROUND(((+$B$209*$B$58)+$B$209)/3,-3)</f>
        <v>353000</v>
      </c>
      <c r="E209" s="51">
        <f aca="true" t="shared" si="158" ref="E209:F209">ROUND(((+$B$209*$B$58)+$B$209)/3,-3)</f>
        <v>353000</v>
      </c>
      <c r="F209" s="51">
        <f t="shared" si="158"/>
        <v>353000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259">
        <f t="shared" si="153"/>
        <v>1059000</v>
      </c>
      <c r="P209" s="50">
        <f t="shared" si="145"/>
        <v>0.0696969696969697</v>
      </c>
    </row>
    <row r="210" spans="1:16" ht="15">
      <c r="A210" s="298" t="s">
        <v>622</v>
      </c>
      <c r="B210" s="258">
        <v>700000</v>
      </c>
      <c r="C210" s="51">
        <v>0</v>
      </c>
      <c r="D210" s="51">
        <f>ROUND(((+$B$210*$B$58)+$B$210)/3,-3)</f>
        <v>250000</v>
      </c>
      <c r="E210" s="51">
        <f>ROUND(((+$B$210*$B$58)+$B$210)/3,-3)</f>
        <v>250000</v>
      </c>
      <c r="F210" s="51">
        <f>ROUND(((+$B$210*$B$58)+$B$210)/3,-3)</f>
        <v>250000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259">
        <f t="shared" si="153"/>
        <v>750000</v>
      </c>
      <c r="P210" s="50">
        <f t="shared" si="145"/>
        <v>0.07142857142857142</v>
      </c>
    </row>
    <row r="211" spans="1:16" ht="15">
      <c r="A211" s="298" t="s">
        <v>648</v>
      </c>
      <c r="B211" s="258">
        <v>0</v>
      </c>
      <c r="C211" s="51"/>
      <c r="D211" s="51">
        <v>480000</v>
      </c>
      <c r="E211" s="51">
        <v>480000</v>
      </c>
      <c r="F211" s="51">
        <v>480000</v>
      </c>
      <c r="G211" s="51"/>
      <c r="H211" s="51"/>
      <c r="I211" s="51"/>
      <c r="J211" s="51"/>
      <c r="K211" s="51"/>
      <c r="L211" s="51"/>
      <c r="M211" s="51"/>
      <c r="N211" s="51"/>
      <c r="O211" s="259">
        <f t="shared" si="153"/>
        <v>1440000</v>
      </c>
      <c r="P211" s="50">
        <v>1</v>
      </c>
    </row>
    <row r="212" spans="1:16" ht="15">
      <c r="A212" s="298" t="s">
        <v>649</v>
      </c>
      <c r="B212" s="258">
        <v>0</v>
      </c>
      <c r="C212" s="51"/>
      <c r="D212" s="51">
        <v>482000</v>
      </c>
      <c r="E212" s="51">
        <v>482000</v>
      </c>
      <c r="F212" s="51">
        <v>482000</v>
      </c>
      <c r="G212" s="51"/>
      <c r="H212" s="51"/>
      <c r="I212" s="51"/>
      <c r="J212" s="51"/>
      <c r="K212" s="51"/>
      <c r="L212" s="51"/>
      <c r="M212" s="51"/>
      <c r="N212" s="51"/>
      <c r="O212" s="259">
        <f aca="true" t="shared" si="159" ref="O212:O213">SUM(C212:N212)</f>
        <v>1446000</v>
      </c>
      <c r="P212" s="50">
        <v>1</v>
      </c>
    </row>
    <row r="213" spans="1:16" ht="15">
      <c r="A213" s="298" t="s">
        <v>724</v>
      </c>
      <c r="B213" s="258">
        <v>0</v>
      </c>
      <c r="C213" s="51">
        <v>350000</v>
      </c>
      <c r="D213" s="51">
        <v>350000</v>
      </c>
      <c r="E213" s="51">
        <v>350000</v>
      </c>
      <c r="F213" s="51">
        <v>350000</v>
      </c>
      <c r="G213" s="51">
        <v>350000</v>
      </c>
      <c r="H213" s="51">
        <v>350000</v>
      </c>
      <c r="I213" s="51">
        <v>350000</v>
      </c>
      <c r="J213" s="51">
        <v>350000</v>
      </c>
      <c r="K213" s="51">
        <v>350000</v>
      </c>
      <c r="L213" s="51">
        <v>350000</v>
      </c>
      <c r="M213" s="51">
        <v>350000</v>
      </c>
      <c r="N213" s="51">
        <v>350000</v>
      </c>
      <c r="O213" s="259">
        <f t="shared" si="159"/>
        <v>4200000</v>
      </c>
      <c r="P213" s="50">
        <v>1</v>
      </c>
    </row>
    <row r="214" spans="1:16" ht="15">
      <c r="A214" s="367" t="s">
        <v>452</v>
      </c>
      <c r="B214" s="258">
        <v>6177000</v>
      </c>
      <c r="C214" s="75"/>
      <c r="D214" s="51">
        <f>ROUND(((+$B$214*$B$58)+$B$214)/3,-3)</f>
        <v>2203000</v>
      </c>
      <c r="E214" s="51">
        <f>ROUND(((+$B$214*$B$58)+$B$214)/3,-3)</f>
        <v>2203000</v>
      </c>
      <c r="F214" s="51">
        <f>ROUND(((+$B$214*$B$58)+$B$214)/3,-3)</f>
        <v>2203000</v>
      </c>
      <c r="G214" s="51"/>
      <c r="H214" s="51"/>
      <c r="I214" s="51"/>
      <c r="J214" s="51"/>
      <c r="K214" s="51"/>
      <c r="L214" s="59"/>
      <c r="M214" s="51"/>
      <c r="N214" s="51"/>
      <c r="O214" s="259">
        <f t="shared" si="153"/>
        <v>6609000</v>
      </c>
      <c r="P214" s="50">
        <f t="shared" si="145"/>
        <v>0.06993686255463817</v>
      </c>
    </row>
    <row r="215" spans="1:16" ht="15">
      <c r="A215" s="298" t="s">
        <v>618</v>
      </c>
      <c r="B215" s="258">
        <v>7280000</v>
      </c>
      <c r="C215" s="51">
        <v>750000</v>
      </c>
      <c r="D215" s="51">
        <v>750000</v>
      </c>
      <c r="E215" s="51">
        <v>750000</v>
      </c>
      <c r="F215" s="51">
        <v>750000</v>
      </c>
      <c r="G215" s="51">
        <v>750000</v>
      </c>
      <c r="H215" s="51">
        <v>750000</v>
      </c>
      <c r="I215" s="51">
        <v>750000</v>
      </c>
      <c r="J215" s="51">
        <v>750000</v>
      </c>
      <c r="K215" s="51">
        <v>750000</v>
      </c>
      <c r="L215" s="51">
        <v>750000</v>
      </c>
      <c r="M215" s="51">
        <v>750000</v>
      </c>
      <c r="N215" s="51">
        <v>750000</v>
      </c>
      <c r="O215" s="259">
        <f t="shared" si="153"/>
        <v>9000000</v>
      </c>
      <c r="P215" s="50">
        <f t="shared" si="145"/>
        <v>0.23626373626373626</v>
      </c>
    </row>
    <row r="216" spans="1:16" ht="29">
      <c r="A216" s="298" t="s">
        <v>497</v>
      </c>
      <c r="B216" s="258">
        <v>3900000</v>
      </c>
      <c r="C216" s="51">
        <f>ROUND(((+$B$216*$B$58)+$B$216),-3)</f>
        <v>4173000</v>
      </c>
      <c r="D216" s="51"/>
      <c r="E216" s="51"/>
      <c r="F216" s="51"/>
      <c r="G216" s="51"/>
      <c r="H216" s="51"/>
      <c r="I216" s="51"/>
      <c r="J216" s="51"/>
      <c r="K216" s="51"/>
      <c r="L216" s="59"/>
      <c r="M216" s="51"/>
      <c r="N216" s="51"/>
      <c r="O216" s="259">
        <f t="shared" si="153"/>
        <v>4173000</v>
      </c>
      <c r="P216" s="50">
        <f t="shared" si="145"/>
        <v>0.07</v>
      </c>
    </row>
    <row r="217" spans="1:16" ht="15">
      <c r="A217" s="367" t="s">
        <v>501</v>
      </c>
      <c r="B217" s="258">
        <f>1269390+1227400</f>
        <v>2496790</v>
      </c>
      <c r="C217" s="51"/>
      <c r="D217" s="51">
        <f>ROUND(((+$B$217*$B$58)+$B$217)/2,-3)</f>
        <v>1336000</v>
      </c>
      <c r="E217" s="51">
        <f>ROUND(((+$B$217*$B$58)+$B$217)/2,-3)</f>
        <v>1336000</v>
      </c>
      <c r="F217" s="51">
        <v>0</v>
      </c>
      <c r="G217" s="51"/>
      <c r="H217" s="51"/>
      <c r="I217" s="51"/>
      <c r="J217" s="51"/>
      <c r="K217" s="51"/>
      <c r="L217" s="59"/>
      <c r="M217" s="51"/>
      <c r="N217" s="51"/>
      <c r="O217" s="259">
        <f t="shared" si="153"/>
        <v>2672000</v>
      </c>
      <c r="P217" s="50">
        <f t="shared" si="145"/>
        <v>0.07017410354895685</v>
      </c>
    </row>
    <row r="218" spans="1:16" ht="15">
      <c r="A218" s="367" t="s">
        <v>620</v>
      </c>
      <c r="B218" s="258">
        <v>1600000</v>
      </c>
      <c r="C218" s="51">
        <f>ROUND(((+$B$218*$B$58)+$B$218)/4,-3)</f>
        <v>428000</v>
      </c>
      <c r="D218" s="51">
        <f>ROUND(((+$B$218*$B$58)+$B$218)/4,-3)</f>
        <v>428000</v>
      </c>
      <c r="E218" s="51">
        <f>ROUND(((+$B$218*$B$58)+$B$218)/4,-3)</f>
        <v>428000</v>
      </c>
      <c r="F218" s="51">
        <f>ROUND(((+$B$218*$B$58)+$B$218)/4,-3)</f>
        <v>428000</v>
      </c>
      <c r="G218" s="73">
        <v>0</v>
      </c>
      <c r="H218" s="73"/>
      <c r="I218" s="73"/>
      <c r="J218" s="73"/>
      <c r="K218" s="73">
        <v>0</v>
      </c>
      <c r="L218" s="73"/>
      <c r="M218" s="73"/>
      <c r="N218" s="73"/>
      <c r="O218" s="259">
        <f t="shared" si="153"/>
        <v>1712000</v>
      </c>
      <c r="P218" s="50">
        <f t="shared" si="145"/>
        <v>0.07</v>
      </c>
    </row>
    <row r="219" spans="1:16" ht="15">
      <c r="A219" s="367" t="s">
        <v>619</v>
      </c>
      <c r="B219" s="258">
        <v>2750000</v>
      </c>
      <c r="C219" s="213">
        <v>0</v>
      </c>
      <c r="D219" s="51"/>
      <c r="E219" s="51">
        <f>ROUND(((+$B$219*$B$58)+$B$219),-3)</f>
        <v>2943000</v>
      </c>
      <c r="F219" s="51">
        <v>0</v>
      </c>
      <c r="G219" s="51"/>
      <c r="H219" s="51"/>
      <c r="I219" s="51"/>
      <c r="J219" s="51"/>
      <c r="K219" s="51"/>
      <c r="L219" s="59"/>
      <c r="M219" s="51"/>
      <c r="N219" s="51"/>
      <c r="O219" s="259">
        <f>SUM(C219:N219)</f>
        <v>2943000</v>
      </c>
      <c r="P219" s="50">
        <f>+(O219-B219)/B219</f>
        <v>0.07018181818181818</v>
      </c>
    </row>
    <row r="220" spans="1:16" ht="15">
      <c r="A220" s="367" t="s">
        <v>621</v>
      </c>
      <c r="B220" s="258">
        <v>700000</v>
      </c>
      <c r="C220" s="213"/>
      <c r="D220" s="51"/>
      <c r="E220" s="51">
        <f>ROUND(((+$B$220*$B$58)+$B$220)/3,-3)</f>
        <v>250000</v>
      </c>
      <c r="F220" s="51"/>
      <c r="G220" s="51"/>
      <c r="H220" s="51">
        <f>ROUND(((+$B$220*$B$58)+$B$220)/3,-3)</f>
        <v>250000</v>
      </c>
      <c r="I220" s="51"/>
      <c r="J220" s="51"/>
      <c r="K220" s="51">
        <f>ROUND(((+$B$220*$B$58)+$B$220)/3,-3)</f>
        <v>250000</v>
      </c>
      <c r="L220" s="59"/>
      <c r="M220" s="51"/>
      <c r="N220" s="51"/>
      <c r="O220" s="259">
        <f>SUM(C220:N220)</f>
        <v>750000</v>
      </c>
      <c r="P220" s="50">
        <f>+(O220-B220)/B220</f>
        <v>0.07142857142857142</v>
      </c>
    </row>
    <row r="221" spans="1:16" ht="29">
      <c r="A221" s="298" t="s">
        <v>498</v>
      </c>
      <c r="B221" s="258">
        <v>574000</v>
      </c>
      <c r="C221" s="51">
        <f aca="true" t="shared" si="160" ref="C221:N221">ROUND(((+$B$221*$B$58)+$B$221)/12,-3)</f>
        <v>51000</v>
      </c>
      <c r="D221" s="51">
        <f t="shared" si="160"/>
        <v>51000</v>
      </c>
      <c r="E221" s="51">
        <f t="shared" si="160"/>
        <v>51000</v>
      </c>
      <c r="F221" s="51">
        <f t="shared" si="160"/>
        <v>51000</v>
      </c>
      <c r="G221" s="51">
        <f t="shared" si="160"/>
        <v>51000</v>
      </c>
      <c r="H221" s="51">
        <f t="shared" si="160"/>
        <v>51000</v>
      </c>
      <c r="I221" s="51">
        <f t="shared" si="160"/>
        <v>51000</v>
      </c>
      <c r="J221" s="51">
        <f t="shared" si="160"/>
        <v>51000</v>
      </c>
      <c r="K221" s="51">
        <f t="shared" si="160"/>
        <v>51000</v>
      </c>
      <c r="L221" s="51">
        <f t="shared" si="160"/>
        <v>51000</v>
      </c>
      <c r="M221" s="51">
        <f t="shared" si="160"/>
        <v>51000</v>
      </c>
      <c r="N221" s="51">
        <f t="shared" si="160"/>
        <v>51000</v>
      </c>
      <c r="O221" s="259">
        <f>SUM(C221:N221)</f>
        <v>612000</v>
      </c>
      <c r="P221" s="50">
        <f t="shared" si="145"/>
        <v>0.06620209059233449</v>
      </c>
    </row>
    <row r="222" spans="1:16" ht="15">
      <c r="A222" s="298" t="s">
        <v>624</v>
      </c>
      <c r="B222" s="258">
        <f>1123000+800000</f>
        <v>1923000</v>
      </c>
      <c r="C222" s="73"/>
      <c r="D222" s="73"/>
      <c r="E222" s="51">
        <f>ROUND(((+$B$222*$B$58)+$B$222)/3,-3)</f>
        <v>686000</v>
      </c>
      <c r="F222" s="73"/>
      <c r="G222" s="73"/>
      <c r="H222" s="51">
        <f>ROUND(((+$B$222*$B$58)+$B$222)/3,-3)</f>
        <v>686000</v>
      </c>
      <c r="I222" s="73"/>
      <c r="J222" s="73"/>
      <c r="K222" s="51">
        <f>ROUND(((+$B$222*$B$58)+$B$222)/3,-3)</f>
        <v>686000</v>
      </c>
      <c r="L222" s="73"/>
      <c r="M222" s="73"/>
      <c r="N222" s="73"/>
      <c r="O222" s="259">
        <f aca="true" t="shared" si="161" ref="O222">SUM(C222:N222)</f>
        <v>2058000</v>
      </c>
      <c r="P222" s="50">
        <f aca="true" t="shared" si="162" ref="P222">+(O222-B222)/B222</f>
        <v>0.07020280811232449</v>
      </c>
    </row>
    <row r="223" spans="1:16" ht="15">
      <c r="A223" s="299" t="s">
        <v>499</v>
      </c>
      <c r="B223" s="258">
        <v>260000</v>
      </c>
      <c r="C223" s="51"/>
      <c r="D223" s="51"/>
      <c r="E223" s="51"/>
      <c r="F223" s="51"/>
      <c r="G223" s="51"/>
      <c r="H223" s="51"/>
      <c r="I223" s="73">
        <v>0</v>
      </c>
      <c r="J223" s="51">
        <v>500000</v>
      </c>
      <c r="K223" s="51">
        <f>ROUND(((+$B$223*$B$58)+$B$223)/2,-3)</f>
        <v>139000</v>
      </c>
      <c r="L223" s="51">
        <f>ROUND(((+$B$223*$B$58)+$B$223)/2,-3)</f>
        <v>139000</v>
      </c>
      <c r="M223" s="73">
        <v>0</v>
      </c>
      <c r="N223" s="73">
        <v>0</v>
      </c>
      <c r="O223" s="259">
        <f t="shared" si="153"/>
        <v>778000</v>
      </c>
      <c r="P223" s="50">
        <f t="shared" si="145"/>
        <v>1.9923076923076923</v>
      </c>
    </row>
    <row r="224" spans="1:16" ht="15">
      <c r="A224" s="299" t="s">
        <v>500</v>
      </c>
      <c r="B224" s="258">
        <f>1200000+1200000</f>
        <v>2400000</v>
      </c>
      <c r="C224" s="51"/>
      <c r="D224" s="51"/>
      <c r="E224" s="51"/>
      <c r="F224" s="51"/>
      <c r="G224" s="51"/>
      <c r="H224" s="51"/>
      <c r="I224" s="73"/>
      <c r="J224" s="51">
        <v>3600000</v>
      </c>
      <c r="K224" s="51">
        <f>ROUND(((+$B$224*$B$58)+$B$224)/2,-3)</f>
        <v>1284000</v>
      </c>
      <c r="L224" s="51">
        <f>ROUND(((+$B$224*$B$58)+$B$224)/2,-3)</f>
        <v>1284000</v>
      </c>
      <c r="M224" s="73"/>
      <c r="N224" s="51">
        <v>0</v>
      </c>
      <c r="O224" s="259">
        <f t="shared" si="153"/>
        <v>6168000</v>
      </c>
      <c r="P224" s="50">
        <f t="shared" si="145"/>
        <v>1.57</v>
      </c>
    </row>
    <row r="225" spans="1:16" ht="15">
      <c r="A225" s="299" t="s">
        <v>534</v>
      </c>
      <c r="B225" s="258">
        <v>60000</v>
      </c>
      <c r="C225" s="51"/>
      <c r="D225" s="51"/>
      <c r="E225" s="51"/>
      <c r="F225" s="51"/>
      <c r="G225" s="51"/>
      <c r="H225" s="51"/>
      <c r="I225" s="73"/>
      <c r="J225" s="32"/>
      <c r="K225" s="51">
        <f>ROUND(((+$B$225*$B$58)+$B$225)/2,-3)</f>
        <v>32000</v>
      </c>
      <c r="L225" s="51">
        <f>ROUND(((+$B$225*$B$58)+$B$225)/2,-3)</f>
        <v>32000</v>
      </c>
      <c r="M225" s="73"/>
      <c r="N225" s="51"/>
      <c r="O225" s="259">
        <f t="shared" si="153"/>
        <v>64000</v>
      </c>
      <c r="P225" s="50">
        <f t="shared" si="145"/>
        <v>0.06666666666666667</v>
      </c>
    </row>
    <row r="226" spans="1:16" ht="15">
      <c r="A226" s="368" t="s">
        <v>502</v>
      </c>
      <c r="B226" s="258">
        <v>270000</v>
      </c>
      <c r="C226" s="51"/>
      <c r="D226" s="51"/>
      <c r="E226" s="51"/>
      <c r="F226" s="51"/>
      <c r="G226" s="51"/>
      <c r="H226" s="51">
        <v>452000</v>
      </c>
      <c r="I226" s="73"/>
      <c r="J226" s="73"/>
      <c r="K226" s="73"/>
      <c r="L226" s="73"/>
      <c r="M226" s="73"/>
      <c r="N226" s="51"/>
      <c r="O226" s="259">
        <f aca="true" t="shared" si="163" ref="O226">SUM(C226:N226)</f>
        <v>452000</v>
      </c>
      <c r="P226" s="50">
        <f aca="true" t="shared" si="164" ref="P226">+(O226-B226)/B226</f>
        <v>0.674074074074074</v>
      </c>
    </row>
    <row r="227" spans="1:16" ht="15">
      <c r="A227" s="297" t="s">
        <v>650</v>
      </c>
      <c r="B227" s="258">
        <v>250000</v>
      </c>
      <c r="C227" s="51"/>
      <c r="D227" s="51">
        <f>ROUND(((+$B$227*$B$58)+$B$227),-3)</f>
        <v>268000</v>
      </c>
      <c r="E227" s="51"/>
      <c r="F227" s="51"/>
      <c r="G227" s="51"/>
      <c r="H227" s="51"/>
      <c r="I227" s="73"/>
      <c r="J227" s="73"/>
      <c r="K227" s="73"/>
      <c r="L227" s="73"/>
      <c r="M227" s="73"/>
      <c r="N227" s="51"/>
      <c r="O227" s="259">
        <f aca="true" t="shared" si="165" ref="O227">SUM(C227:N227)</f>
        <v>268000</v>
      </c>
      <c r="P227" s="50">
        <f t="shared" si="145"/>
        <v>0.072</v>
      </c>
    </row>
    <row r="228" spans="1:16" ht="15">
      <c r="A228" s="29" t="s">
        <v>51</v>
      </c>
      <c r="B228" s="258"/>
      <c r="C228" s="30">
        <f>+C229</f>
        <v>10000</v>
      </c>
      <c r="D228" s="30">
        <f aca="true" t="shared" si="166" ref="D228:O228">+D229</f>
        <v>10000</v>
      </c>
      <c r="E228" s="30">
        <f t="shared" si="166"/>
        <v>0</v>
      </c>
      <c r="F228" s="30">
        <f t="shared" si="166"/>
        <v>10000</v>
      </c>
      <c r="G228" s="30">
        <f t="shared" si="166"/>
        <v>10000</v>
      </c>
      <c r="H228" s="30">
        <f t="shared" si="166"/>
        <v>10000</v>
      </c>
      <c r="I228" s="30">
        <f t="shared" si="166"/>
        <v>10000</v>
      </c>
      <c r="J228" s="30">
        <f t="shared" si="166"/>
        <v>0</v>
      </c>
      <c r="K228" s="30">
        <f t="shared" si="166"/>
        <v>10000</v>
      </c>
      <c r="L228" s="30">
        <f t="shared" si="166"/>
        <v>10000</v>
      </c>
      <c r="M228" s="30">
        <f t="shared" si="166"/>
        <v>0</v>
      </c>
      <c r="N228" s="30">
        <f t="shared" si="166"/>
        <v>0</v>
      </c>
      <c r="O228" s="260">
        <f t="shared" si="166"/>
        <v>80000</v>
      </c>
      <c r="P228" s="50">
        <v>1</v>
      </c>
    </row>
    <row r="229" spans="1:16" ht="15">
      <c r="A229" s="163" t="s">
        <v>521</v>
      </c>
      <c r="B229" s="258">
        <v>0</v>
      </c>
      <c r="C229" s="51">
        <v>10000</v>
      </c>
      <c r="D229" s="51">
        <v>10000</v>
      </c>
      <c r="E229" s="51">
        <f>ROUND(((+$B$229*$B$58)+$B$229)/5,-3)</f>
        <v>0</v>
      </c>
      <c r="F229" s="51">
        <v>10000</v>
      </c>
      <c r="G229" s="51">
        <v>10000</v>
      </c>
      <c r="H229" s="51">
        <v>10000</v>
      </c>
      <c r="I229" s="51">
        <v>10000</v>
      </c>
      <c r="J229" s="59"/>
      <c r="K229" s="51">
        <v>10000</v>
      </c>
      <c r="L229" s="51">
        <v>10000</v>
      </c>
      <c r="M229" s="59"/>
      <c r="N229" s="59"/>
      <c r="O229" s="259">
        <f aca="true" t="shared" si="167" ref="O229">SUM(C229:N229)</f>
        <v>80000</v>
      </c>
      <c r="P229" s="50">
        <v>1</v>
      </c>
    </row>
    <row r="230" spans="1:16" s="31" customFormat="1" ht="15">
      <c r="A230" s="29" t="s">
        <v>53</v>
      </c>
      <c r="B230" s="260">
        <f aca="true" t="shared" si="168" ref="B230:O230">+B231+B246+B249+B254+B264</f>
        <v>40946574</v>
      </c>
      <c r="C230" s="30">
        <f t="shared" si="168"/>
        <v>3074000</v>
      </c>
      <c r="D230" s="30">
        <f t="shared" si="168"/>
        <v>855000</v>
      </c>
      <c r="E230" s="30">
        <f t="shared" si="168"/>
        <v>6449000</v>
      </c>
      <c r="F230" s="30">
        <f t="shared" si="168"/>
        <v>6769000</v>
      </c>
      <c r="G230" s="30">
        <f t="shared" si="168"/>
        <v>1623000</v>
      </c>
      <c r="H230" s="30">
        <f t="shared" si="168"/>
        <v>1225000</v>
      </c>
      <c r="I230" s="30">
        <f t="shared" si="168"/>
        <v>5968000</v>
      </c>
      <c r="J230" s="30">
        <f t="shared" si="168"/>
        <v>677000</v>
      </c>
      <c r="K230" s="30">
        <f t="shared" si="168"/>
        <v>37312000</v>
      </c>
      <c r="L230" s="30">
        <f t="shared" si="168"/>
        <v>1307000</v>
      </c>
      <c r="M230" s="30">
        <f t="shared" si="168"/>
        <v>5439000</v>
      </c>
      <c r="N230" s="30">
        <f t="shared" si="168"/>
        <v>491000</v>
      </c>
      <c r="O230" s="260">
        <f t="shared" si="168"/>
        <v>71189000</v>
      </c>
      <c r="P230" s="50">
        <f aca="true" t="shared" si="169" ref="P230:P245">+(O230-B230)/B230</f>
        <v>0.7385825734773317</v>
      </c>
    </row>
    <row r="231" spans="1:16" s="31" customFormat="1" ht="15">
      <c r="A231" s="29" t="s">
        <v>54</v>
      </c>
      <c r="B231" s="260">
        <f aca="true" t="shared" si="170" ref="B231:O231">+B232+B233+B234+B235+B236+B237+B240+B238+B239</f>
        <v>13920878</v>
      </c>
      <c r="C231" s="30">
        <f t="shared" si="170"/>
        <v>550000</v>
      </c>
      <c r="D231" s="30">
        <f t="shared" si="170"/>
        <v>0</v>
      </c>
      <c r="E231" s="30">
        <f t="shared" si="170"/>
        <v>1160000</v>
      </c>
      <c r="F231" s="30">
        <f t="shared" si="170"/>
        <v>4269000</v>
      </c>
      <c r="G231" s="30">
        <f t="shared" si="170"/>
        <v>0</v>
      </c>
      <c r="H231" s="30">
        <f t="shared" si="170"/>
        <v>0</v>
      </c>
      <c r="I231" s="30">
        <f t="shared" si="170"/>
        <v>792000</v>
      </c>
      <c r="J231" s="30">
        <f t="shared" si="170"/>
        <v>357000</v>
      </c>
      <c r="K231" s="30">
        <f t="shared" si="170"/>
        <v>34000000</v>
      </c>
      <c r="L231" s="30">
        <f t="shared" si="170"/>
        <v>221000</v>
      </c>
      <c r="M231" s="30">
        <f t="shared" si="170"/>
        <v>928000</v>
      </c>
      <c r="N231" s="30">
        <f t="shared" si="170"/>
        <v>0</v>
      </c>
      <c r="O231" s="260">
        <f t="shared" si="170"/>
        <v>42277000</v>
      </c>
      <c r="P231" s="50">
        <f t="shared" si="169"/>
        <v>2.0369492498964505</v>
      </c>
    </row>
    <row r="232" spans="1:16" ht="15">
      <c r="A232" s="163" t="s">
        <v>55</v>
      </c>
      <c r="B232" s="258">
        <v>0</v>
      </c>
      <c r="C232" s="51">
        <v>0</v>
      </c>
      <c r="D232" s="51"/>
      <c r="E232" s="51">
        <v>0</v>
      </c>
      <c r="F232" s="51"/>
      <c r="G232" s="51">
        <v>0</v>
      </c>
      <c r="H232" s="51"/>
      <c r="I232" s="51"/>
      <c r="J232" s="51">
        <v>0</v>
      </c>
      <c r="K232" s="51"/>
      <c r="L232" s="51"/>
      <c r="M232" s="51"/>
      <c r="N232" s="51"/>
      <c r="O232" s="259">
        <f aca="true" t="shared" si="171" ref="O232:O263">SUM(C232:N232)</f>
        <v>0</v>
      </c>
      <c r="P232" s="50">
        <v>0</v>
      </c>
    </row>
    <row r="233" spans="1:16" ht="15">
      <c r="A233" s="163" t="s">
        <v>233</v>
      </c>
      <c r="B233" s="258">
        <v>6470878</v>
      </c>
      <c r="C233" s="51"/>
      <c r="D233" s="59"/>
      <c r="E233" s="51"/>
      <c r="F233" s="51"/>
      <c r="G233" s="51">
        <v>0</v>
      </c>
      <c r="H233" s="51"/>
      <c r="I233" s="51"/>
      <c r="J233" s="51"/>
      <c r="K233" s="51">
        <v>9000000</v>
      </c>
      <c r="L233" s="51"/>
      <c r="M233" s="51"/>
      <c r="N233" s="51"/>
      <c r="O233" s="259">
        <f t="shared" si="171"/>
        <v>9000000</v>
      </c>
      <c r="P233" s="50">
        <f t="shared" si="169"/>
        <v>0.3908468062602942</v>
      </c>
    </row>
    <row r="234" spans="1:16" ht="15">
      <c r="A234" s="163" t="s">
        <v>460</v>
      </c>
      <c r="B234" s="258">
        <v>0</v>
      </c>
      <c r="C234" s="51"/>
      <c r="D234" s="59"/>
      <c r="E234" s="51"/>
      <c r="F234" s="51">
        <v>0</v>
      </c>
      <c r="G234" s="51">
        <f>ROUND(((+$B$234*$B$58)+$B$234),-3)</f>
        <v>0</v>
      </c>
      <c r="H234" s="51"/>
      <c r="I234" s="51"/>
      <c r="J234" s="51"/>
      <c r="K234" s="51">
        <v>25000000</v>
      </c>
      <c r="L234" s="51"/>
      <c r="M234" s="51"/>
      <c r="N234" s="51"/>
      <c r="O234" s="259">
        <f t="shared" si="171"/>
        <v>25000000</v>
      </c>
      <c r="P234" s="50">
        <v>1</v>
      </c>
    </row>
    <row r="235" spans="1:16" ht="15">
      <c r="A235" s="163" t="s">
        <v>130</v>
      </c>
      <c r="B235" s="258">
        <v>0</v>
      </c>
      <c r="C235" s="51"/>
      <c r="D235" s="51">
        <f>ROUND(((+$B$235*$B$58)+$B$235)/2,-3)</f>
        <v>0</v>
      </c>
      <c r="E235" s="51"/>
      <c r="F235" s="51"/>
      <c r="G235" s="51"/>
      <c r="H235" s="51"/>
      <c r="I235" s="51">
        <f>ROUND(((+$B$235*$B$58)+$B$235)/2,-3)</f>
        <v>0</v>
      </c>
      <c r="J235" s="51"/>
      <c r="K235" s="51"/>
      <c r="L235" s="51"/>
      <c r="M235" s="51"/>
      <c r="N235" s="51"/>
      <c r="O235" s="259">
        <f t="shared" si="171"/>
        <v>0</v>
      </c>
      <c r="P235" s="50">
        <v>0</v>
      </c>
    </row>
    <row r="236" spans="1:16" ht="15">
      <c r="A236" s="163" t="s">
        <v>254</v>
      </c>
      <c r="B236" s="258">
        <v>450000</v>
      </c>
      <c r="C236" s="51">
        <v>0</v>
      </c>
      <c r="D236" s="59"/>
      <c r="E236" s="51">
        <f>ROUND(((+$B$236*$B$58)+$B$236)/3,-3)</f>
        <v>161000</v>
      </c>
      <c r="F236" s="51">
        <v>0</v>
      </c>
      <c r="G236" s="51">
        <v>0</v>
      </c>
      <c r="H236" s="51"/>
      <c r="I236" s="51">
        <f>ROUND(((+$B$236*$B$58)+$B$236)/3,-3)</f>
        <v>161000</v>
      </c>
      <c r="J236" s="51"/>
      <c r="K236" s="51"/>
      <c r="L236" s="51">
        <f>ROUND(((+$B$236*$B$58)+$B$236)/3,-3)</f>
        <v>161000</v>
      </c>
      <c r="M236" s="51"/>
      <c r="N236" s="51"/>
      <c r="O236" s="259">
        <f t="shared" si="171"/>
        <v>483000</v>
      </c>
      <c r="P236" s="50">
        <f t="shared" si="169"/>
        <v>0.07333333333333333</v>
      </c>
    </row>
    <row r="237" spans="1:16" ht="15">
      <c r="A237" s="163" t="s">
        <v>234</v>
      </c>
      <c r="B237" s="258">
        <v>1000000</v>
      </c>
      <c r="C237" s="51"/>
      <c r="D237" s="59"/>
      <c r="E237" s="51"/>
      <c r="F237" s="51">
        <f>ROUND(((+$B$237*$B$58)+$B$237)/3,-3)</f>
        <v>357000</v>
      </c>
      <c r="G237" s="51"/>
      <c r="H237" s="51"/>
      <c r="I237" s="51"/>
      <c r="J237" s="51">
        <f>ROUND(((+$B$237*$B$58)+$B$237)/3,-3)</f>
        <v>357000</v>
      </c>
      <c r="K237" s="51"/>
      <c r="L237" s="51"/>
      <c r="M237" s="51">
        <f>ROUND(((+$B$237*$B$58)+$B$237)/3,-3)</f>
        <v>357000</v>
      </c>
      <c r="N237" s="51"/>
      <c r="O237" s="259">
        <f t="shared" si="171"/>
        <v>1071000</v>
      </c>
      <c r="P237" s="50">
        <f t="shared" si="169"/>
        <v>0.071</v>
      </c>
    </row>
    <row r="238" spans="1:16" ht="15">
      <c r="A238" s="163" t="s">
        <v>532</v>
      </c>
      <c r="B238" s="258">
        <v>400000</v>
      </c>
      <c r="C238" s="73">
        <v>550000</v>
      </c>
      <c r="D238" s="51">
        <v>0</v>
      </c>
      <c r="E238" s="73">
        <v>0</v>
      </c>
      <c r="F238" s="73">
        <v>60000</v>
      </c>
      <c r="G238" s="73">
        <v>0</v>
      </c>
      <c r="H238" s="73">
        <v>0</v>
      </c>
      <c r="I238" s="73">
        <v>60000</v>
      </c>
      <c r="J238" s="73">
        <v>0</v>
      </c>
      <c r="K238" s="73">
        <v>0</v>
      </c>
      <c r="L238" s="73">
        <v>60000</v>
      </c>
      <c r="M238" s="73">
        <v>0</v>
      </c>
      <c r="N238" s="73">
        <v>0</v>
      </c>
      <c r="O238" s="259">
        <f aca="true" t="shared" si="172" ref="O238">SUM(C238:N238)</f>
        <v>730000</v>
      </c>
      <c r="P238" s="50">
        <f t="shared" si="169"/>
        <v>0.825</v>
      </c>
    </row>
    <row r="239" spans="1:16" ht="15">
      <c r="A239" s="163" t="s">
        <v>505</v>
      </c>
      <c r="B239" s="258">
        <v>0</v>
      </c>
      <c r="C239" s="51"/>
      <c r="D239" s="59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259">
        <f t="shared" si="171"/>
        <v>0</v>
      </c>
      <c r="P239" s="50">
        <v>0</v>
      </c>
    </row>
    <row r="240" spans="1:16" ht="15">
      <c r="A240" s="163" t="s">
        <v>56</v>
      </c>
      <c r="B240" s="258">
        <f aca="true" t="shared" si="173" ref="B240:O240">SUM(B241:B245)</f>
        <v>5600000</v>
      </c>
      <c r="C240" s="51">
        <f t="shared" si="173"/>
        <v>0</v>
      </c>
      <c r="D240" s="51">
        <f t="shared" si="173"/>
        <v>0</v>
      </c>
      <c r="E240" s="51">
        <f t="shared" si="173"/>
        <v>999000</v>
      </c>
      <c r="F240" s="51">
        <f t="shared" si="173"/>
        <v>3852000</v>
      </c>
      <c r="G240" s="51">
        <f t="shared" si="173"/>
        <v>0</v>
      </c>
      <c r="H240" s="51">
        <f t="shared" si="173"/>
        <v>0</v>
      </c>
      <c r="I240" s="51">
        <f t="shared" si="173"/>
        <v>571000</v>
      </c>
      <c r="J240" s="51">
        <f t="shared" si="173"/>
        <v>0</v>
      </c>
      <c r="K240" s="51">
        <f t="shared" si="173"/>
        <v>0</v>
      </c>
      <c r="L240" s="51">
        <f t="shared" si="173"/>
        <v>0</v>
      </c>
      <c r="M240" s="51">
        <f t="shared" si="173"/>
        <v>571000</v>
      </c>
      <c r="N240" s="51">
        <f t="shared" si="173"/>
        <v>0</v>
      </c>
      <c r="O240" s="258">
        <f t="shared" si="173"/>
        <v>5993000</v>
      </c>
      <c r="P240" s="50">
        <f t="shared" si="169"/>
        <v>0.07017857142857142</v>
      </c>
    </row>
    <row r="241" spans="1:16" ht="15">
      <c r="A241" s="163" t="s">
        <v>506</v>
      </c>
      <c r="B241" s="258">
        <v>300000</v>
      </c>
      <c r="C241" s="51"/>
      <c r="D241" s="59"/>
      <c r="E241" s="51">
        <f>ROUND(((+$B$241*$B$58)+$B$241)/3,-3)</f>
        <v>107000</v>
      </c>
      <c r="F241" s="59"/>
      <c r="G241" s="59"/>
      <c r="H241" s="59"/>
      <c r="I241" s="51">
        <f>ROUND(((+$B$241*$B$58)+$B$241)/3,-3)</f>
        <v>107000</v>
      </c>
      <c r="J241" s="59"/>
      <c r="K241" s="59"/>
      <c r="L241" s="59"/>
      <c r="M241" s="51">
        <f>ROUND(((+$B$241*$B$58)+$B$241)/3,-3)</f>
        <v>107000</v>
      </c>
      <c r="N241" s="59"/>
      <c r="O241" s="259">
        <f t="shared" si="171"/>
        <v>321000</v>
      </c>
      <c r="P241" s="50">
        <f t="shared" si="169"/>
        <v>0.07</v>
      </c>
    </row>
    <row r="242" spans="1:16" ht="15">
      <c r="A242" s="163" t="s">
        <v>507</v>
      </c>
      <c r="B242" s="258">
        <v>100000</v>
      </c>
      <c r="C242" s="51"/>
      <c r="D242" s="59"/>
      <c r="E242" s="51">
        <f>ROUND(((+$B$242*$B$58)+$B$242)/3,-3)</f>
        <v>36000</v>
      </c>
      <c r="F242" s="59"/>
      <c r="G242" s="59"/>
      <c r="H242" s="59"/>
      <c r="I242" s="51">
        <f>ROUND(((+$B$242*$B$58)+$B$242)/3,-3)</f>
        <v>36000</v>
      </c>
      <c r="J242" s="59"/>
      <c r="K242" s="59"/>
      <c r="L242" s="59"/>
      <c r="M242" s="51">
        <f>ROUND(((+$B$242*$B$58)+$B$242)/3,-3)</f>
        <v>36000</v>
      </c>
      <c r="N242" s="59"/>
      <c r="O242" s="259">
        <f t="shared" si="171"/>
        <v>108000</v>
      </c>
      <c r="P242" s="50">
        <f t="shared" si="169"/>
        <v>0.08</v>
      </c>
    </row>
    <row r="243" spans="1:16" ht="15">
      <c r="A243" s="163" t="s">
        <v>508</v>
      </c>
      <c r="B243" s="258">
        <v>1200000</v>
      </c>
      <c r="C243" s="51"/>
      <c r="D243" s="59"/>
      <c r="E243" s="51">
        <f>ROUND(((+$B$243*$B$58)+$B$243)/3,-3)</f>
        <v>428000</v>
      </c>
      <c r="F243" s="59"/>
      <c r="G243" s="59"/>
      <c r="H243" s="59"/>
      <c r="I243" s="51">
        <f>ROUND(((+$B$243*$B$58)+$B$243)/3,-3)</f>
        <v>428000</v>
      </c>
      <c r="J243" s="59"/>
      <c r="K243" s="59"/>
      <c r="L243" s="59"/>
      <c r="M243" s="51">
        <f>ROUND(((+$B$243*$B$58)+$B$243)/3,-3)</f>
        <v>428000</v>
      </c>
      <c r="N243" s="59"/>
      <c r="O243" s="259">
        <f t="shared" si="171"/>
        <v>1284000</v>
      </c>
      <c r="P243" s="50">
        <f t="shared" si="169"/>
        <v>0.07</v>
      </c>
    </row>
    <row r="244" spans="1:16" ht="15">
      <c r="A244" s="163" t="s">
        <v>235</v>
      </c>
      <c r="B244" s="258">
        <v>400000</v>
      </c>
      <c r="C244" s="51"/>
      <c r="D244" s="59"/>
      <c r="E244" s="51">
        <f>ROUND(((+$B$244*$B$58)+$B$244),-3)</f>
        <v>428000</v>
      </c>
      <c r="F244" s="59"/>
      <c r="G244" s="59"/>
      <c r="H244" s="59"/>
      <c r="I244" s="51"/>
      <c r="J244" s="59"/>
      <c r="K244" s="59"/>
      <c r="L244" s="59"/>
      <c r="M244" s="51"/>
      <c r="N244" s="59"/>
      <c r="O244" s="259">
        <f t="shared" si="171"/>
        <v>428000</v>
      </c>
      <c r="P244" s="50">
        <f t="shared" si="169"/>
        <v>0.07</v>
      </c>
    </row>
    <row r="245" spans="1:16" s="68" customFormat="1" ht="15">
      <c r="A245" s="296" t="s">
        <v>513</v>
      </c>
      <c r="B245" s="263">
        <v>3600000</v>
      </c>
      <c r="C245" s="66"/>
      <c r="D245" s="70"/>
      <c r="E245" s="66">
        <v>0</v>
      </c>
      <c r="F245" s="66">
        <f>ROUND(((+$B$245*$B$58)+$B$245),-3)</f>
        <v>3852000</v>
      </c>
      <c r="G245" s="67"/>
      <c r="H245" s="67"/>
      <c r="I245" s="66"/>
      <c r="J245" s="67"/>
      <c r="K245" s="67"/>
      <c r="L245" s="67"/>
      <c r="M245" s="66"/>
      <c r="N245" s="67"/>
      <c r="O245" s="259">
        <f t="shared" si="171"/>
        <v>3852000</v>
      </c>
      <c r="P245" s="50">
        <f t="shared" si="169"/>
        <v>0.07</v>
      </c>
    </row>
    <row r="246" spans="1:16" s="68" customFormat="1" ht="15">
      <c r="A246" s="300" t="s">
        <v>255</v>
      </c>
      <c r="B246" s="265">
        <f>+SUM(B247:B248)</f>
        <v>2501150</v>
      </c>
      <c r="C246" s="266">
        <f>+SUM(C247:C248)</f>
        <v>168000</v>
      </c>
      <c r="D246" s="266">
        <f aca="true" t="shared" si="174" ref="D246:O246">+SUM(D247:D248)</f>
        <v>168000</v>
      </c>
      <c r="E246" s="266">
        <f t="shared" si="174"/>
        <v>168000</v>
      </c>
      <c r="F246" s="266">
        <f t="shared" si="174"/>
        <v>168000</v>
      </c>
      <c r="G246" s="266">
        <f t="shared" si="174"/>
        <v>168000</v>
      </c>
      <c r="H246" s="266">
        <f t="shared" si="174"/>
        <v>168000</v>
      </c>
      <c r="I246" s="266">
        <f t="shared" si="174"/>
        <v>833000</v>
      </c>
      <c r="J246" s="266">
        <f t="shared" si="174"/>
        <v>168000</v>
      </c>
      <c r="K246" s="266">
        <f t="shared" si="174"/>
        <v>168000</v>
      </c>
      <c r="L246" s="266">
        <f t="shared" si="174"/>
        <v>168000</v>
      </c>
      <c r="M246" s="266">
        <f t="shared" si="174"/>
        <v>168000</v>
      </c>
      <c r="N246" s="266">
        <f t="shared" si="174"/>
        <v>168000</v>
      </c>
      <c r="O246" s="265">
        <f t="shared" si="174"/>
        <v>2681000</v>
      </c>
      <c r="P246" s="50">
        <f aca="true" t="shared" si="175" ref="P246">+(O246-B246)/B246</f>
        <v>0.07190692281550487</v>
      </c>
    </row>
    <row r="247" spans="1:16" s="68" customFormat="1" ht="15">
      <c r="A247" s="296" t="s">
        <v>256</v>
      </c>
      <c r="B247" s="263">
        <v>1880000</v>
      </c>
      <c r="C247" s="51">
        <f aca="true" t="shared" si="176" ref="C247:N247">ROUND(((+$B$247*$B$58)+$B$247)/12,-3)</f>
        <v>168000</v>
      </c>
      <c r="D247" s="51">
        <f t="shared" si="176"/>
        <v>168000</v>
      </c>
      <c r="E247" s="51">
        <f t="shared" si="176"/>
        <v>168000</v>
      </c>
      <c r="F247" s="51">
        <f t="shared" si="176"/>
        <v>168000</v>
      </c>
      <c r="G247" s="51">
        <f t="shared" si="176"/>
        <v>168000</v>
      </c>
      <c r="H247" s="51">
        <f t="shared" si="176"/>
        <v>168000</v>
      </c>
      <c r="I247" s="51">
        <f t="shared" si="176"/>
        <v>168000</v>
      </c>
      <c r="J247" s="51">
        <f t="shared" si="176"/>
        <v>168000</v>
      </c>
      <c r="K247" s="51">
        <f t="shared" si="176"/>
        <v>168000</v>
      </c>
      <c r="L247" s="51">
        <f t="shared" si="176"/>
        <v>168000</v>
      </c>
      <c r="M247" s="51">
        <f t="shared" si="176"/>
        <v>168000</v>
      </c>
      <c r="N247" s="51">
        <f t="shared" si="176"/>
        <v>168000</v>
      </c>
      <c r="O247" s="259">
        <f t="shared" si="171"/>
        <v>2016000</v>
      </c>
      <c r="P247" s="50">
        <f aca="true" t="shared" si="177" ref="P247:P248">+(O247-B247)/B247</f>
        <v>0.07234042553191489</v>
      </c>
    </row>
    <row r="248" spans="1:16" s="68" customFormat="1" ht="15">
      <c r="A248" s="296" t="s">
        <v>625</v>
      </c>
      <c r="B248" s="263">
        <f>327000+294150</f>
        <v>621150</v>
      </c>
      <c r="C248" s="51">
        <v>0</v>
      </c>
      <c r="D248" s="51">
        <v>0</v>
      </c>
      <c r="E248" s="51">
        <v>0</v>
      </c>
      <c r="F248" s="51">
        <v>0</v>
      </c>
      <c r="G248" s="51">
        <v>0</v>
      </c>
      <c r="H248" s="51">
        <v>0</v>
      </c>
      <c r="I248" s="51">
        <f>ROUND(((+$B$248*$B$58)+$B$248),-3)</f>
        <v>665000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259">
        <f t="shared" si="171"/>
        <v>665000</v>
      </c>
      <c r="P248" s="50">
        <f t="shared" si="177"/>
        <v>0.07059486436448523</v>
      </c>
    </row>
    <row r="249" spans="1:16" s="31" customFormat="1" ht="15">
      <c r="A249" s="29" t="s">
        <v>57</v>
      </c>
      <c r="B249" s="260">
        <f aca="true" t="shared" si="178" ref="B249:O249">SUM(B250:B253)</f>
        <v>7860810</v>
      </c>
      <c r="C249" s="30">
        <f t="shared" si="178"/>
        <v>1303000</v>
      </c>
      <c r="D249" s="30">
        <f t="shared" si="178"/>
        <v>0</v>
      </c>
      <c r="E249" s="30">
        <f t="shared" si="178"/>
        <v>1339000</v>
      </c>
      <c r="F249" s="30">
        <f t="shared" si="178"/>
        <v>0</v>
      </c>
      <c r="G249" s="30">
        <f t="shared" si="178"/>
        <v>1303000</v>
      </c>
      <c r="H249" s="30">
        <f t="shared" si="178"/>
        <v>520000</v>
      </c>
      <c r="I249" s="30">
        <f t="shared" si="178"/>
        <v>1303000</v>
      </c>
      <c r="J249" s="30">
        <f t="shared" si="178"/>
        <v>0</v>
      </c>
      <c r="K249" s="30">
        <f t="shared" si="178"/>
        <v>1303000</v>
      </c>
      <c r="L249" s="30">
        <f t="shared" si="178"/>
        <v>36000</v>
      </c>
      <c r="M249" s="30">
        <f t="shared" si="178"/>
        <v>1303000</v>
      </c>
      <c r="N249" s="30">
        <f t="shared" si="178"/>
        <v>0</v>
      </c>
      <c r="O249" s="260">
        <f t="shared" si="178"/>
        <v>8410000</v>
      </c>
      <c r="P249" s="50">
        <f aca="true" t="shared" si="179" ref="P249:P265">+(O249-B249)/B249</f>
        <v>0.06986430151600154</v>
      </c>
    </row>
    <row r="250" spans="1:16" ht="15">
      <c r="A250" s="301" t="s">
        <v>503</v>
      </c>
      <c r="B250" s="258">
        <v>7308810</v>
      </c>
      <c r="C250" s="51">
        <f>ROUND(((+$B$250*$B$58)+$B$250)/6,-3)</f>
        <v>1303000</v>
      </c>
      <c r="D250" s="59"/>
      <c r="E250" s="51">
        <f>ROUND(((+$B$250*$B$58)+$B$250)/6,-3)</f>
        <v>1303000</v>
      </c>
      <c r="F250" s="51"/>
      <c r="G250" s="51">
        <f>ROUND(((+$B$250*$B$58)+$B$250)/6,-3)</f>
        <v>1303000</v>
      </c>
      <c r="H250" s="59"/>
      <c r="I250" s="51">
        <f>ROUND(((+$B$250*$B$58)+$B$250)/6,-3)</f>
        <v>1303000</v>
      </c>
      <c r="J250" s="59"/>
      <c r="K250" s="51">
        <f>ROUND(((+$B$250*$B$58)+$B$250)/6,-3)</f>
        <v>1303000</v>
      </c>
      <c r="L250" s="51"/>
      <c r="M250" s="51">
        <f>ROUND(((+$B$250*$B$58)+$B$250)/6,-3)</f>
        <v>1303000</v>
      </c>
      <c r="N250" s="59"/>
      <c r="O250" s="259">
        <f t="shared" si="171"/>
        <v>7818000</v>
      </c>
      <c r="P250" s="50">
        <f t="shared" si="179"/>
        <v>0.06966797604534801</v>
      </c>
    </row>
    <row r="251" spans="1:16" ht="15">
      <c r="A251" s="301" t="s">
        <v>504</v>
      </c>
      <c r="B251" s="258">
        <v>172000</v>
      </c>
      <c r="C251" s="51"/>
      <c r="D251" s="59"/>
      <c r="E251" s="59"/>
      <c r="F251" s="51"/>
      <c r="G251" s="59"/>
      <c r="H251" s="51">
        <f>ROUND(((+$B$251*$B$58)+$B$251),-3)</f>
        <v>184000</v>
      </c>
      <c r="I251" s="51"/>
      <c r="J251" s="59"/>
      <c r="K251" s="59"/>
      <c r="L251" s="51"/>
      <c r="M251" s="59"/>
      <c r="N251" s="59"/>
      <c r="O251" s="259">
        <f t="shared" si="171"/>
        <v>184000</v>
      </c>
      <c r="P251" s="50">
        <f t="shared" si="179"/>
        <v>0.06976744186046512</v>
      </c>
    </row>
    <row r="252" spans="1:16" ht="15">
      <c r="A252" s="163" t="s">
        <v>236</v>
      </c>
      <c r="B252" s="258">
        <v>100000</v>
      </c>
      <c r="C252" s="51"/>
      <c r="D252" s="59"/>
      <c r="E252" s="51">
        <f>ROUND(((+$B$252*$B$58)+$B$252)/3,-3)</f>
        <v>36000</v>
      </c>
      <c r="F252" s="59"/>
      <c r="G252" s="59"/>
      <c r="H252" s="51">
        <f>ROUND(((+$B$252*$B$58)+$B$252)/3,-3)</f>
        <v>36000</v>
      </c>
      <c r="I252" s="59"/>
      <c r="J252" s="59"/>
      <c r="K252" s="59"/>
      <c r="L252" s="51">
        <f>ROUND(((+$B$252*$B$58)+$B$252)/3,-3)</f>
        <v>36000</v>
      </c>
      <c r="M252" s="59"/>
      <c r="N252" s="59"/>
      <c r="O252" s="259">
        <f t="shared" si="171"/>
        <v>108000</v>
      </c>
      <c r="P252" s="50">
        <f t="shared" si="179"/>
        <v>0.08</v>
      </c>
    </row>
    <row r="253" spans="1:16" ht="15">
      <c r="A253" s="163" t="s">
        <v>58</v>
      </c>
      <c r="B253" s="258">
        <v>280000</v>
      </c>
      <c r="C253" s="51"/>
      <c r="D253" s="51"/>
      <c r="E253" s="59"/>
      <c r="F253" s="51"/>
      <c r="G253" s="59"/>
      <c r="H253" s="51">
        <f>ROUND(((+$B$253*$B$58)+$B$253),-3)</f>
        <v>300000</v>
      </c>
      <c r="I253" s="59"/>
      <c r="J253" s="51"/>
      <c r="K253" s="59"/>
      <c r="L253" s="51"/>
      <c r="M253" s="59"/>
      <c r="N253" s="51"/>
      <c r="O253" s="259">
        <f t="shared" si="171"/>
        <v>300000</v>
      </c>
      <c r="P253" s="50">
        <f t="shared" si="179"/>
        <v>0.07142857142857142</v>
      </c>
    </row>
    <row r="254" spans="1:16" s="31" customFormat="1" ht="15">
      <c r="A254" s="29" t="s">
        <v>59</v>
      </c>
      <c r="B254" s="260">
        <f aca="true" t="shared" si="180" ref="B254:O254">SUM(B255:B263)</f>
        <v>14336377</v>
      </c>
      <c r="C254" s="30">
        <f t="shared" si="180"/>
        <v>1053000</v>
      </c>
      <c r="D254" s="30">
        <f t="shared" si="180"/>
        <v>687000</v>
      </c>
      <c r="E254" s="30">
        <f t="shared" si="180"/>
        <v>3782000</v>
      </c>
      <c r="F254" s="30">
        <f t="shared" si="180"/>
        <v>1087000</v>
      </c>
      <c r="G254" s="30">
        <f t="shared" si="180"/>
        <v>152000</v>
      </c>
      <c r="H254" s="30">
        <f t="shared" si="180"/>
        <v>537000</v>
      </c>
      <c r="I254" s="30">
        <f t="shared" si="180"/>
        <v>3040000</v>
      </c>
      <c r="J254" s="30">
        <f t="shared" si="180"/>
        <v>152000</v>
      </c>
      <c r="K254" s="30">
        <f t="shared" si="180"/>
        <v>596000</v>
      </c>
      <c r="L254" s="30">
        <f t="shared" si="180"/>
        <v>882000</v>
      </c>
      <c r="M254" s="30">
        <f t="shared" si="180"/>
        <v>3040000</v>
      </c>
      <c r="N254" s="30">
        <f t="shared" si="180"/>
        <v>323000</v>
      </c>
      <c r="O254" s="260">
        <f t="shared" si="180"/>
        <v>15331000</v>
      </c>
      <c r="P254" s="50">
        <f t="shared" si="179"/>
        <v>0.06937757007924666</v>
      </c>
    </row>
    <row r="255" spans="1:16" ht="15">
      <c r="A255" s="301" t="s">
        <v>238</v>
      </c>
      <c r="B255" s="258">
        <v>500000</v>
      </c>
      <c r="C255" s="51"/>
      <c r="D255" s="51">
        <f>ROUND(((+$B$255*$B$58)+$B$255),-3)</f>
        <v>535000</v>
      </c>
      <c r="E255" s="59"/>
      <c r="F255" s="51"/>
      <c r="G255" s="59"/>
      <c r="H255" s="59"/>
      <c r="I255" s="51"/>
      <c r="J255" s="59"/>
      <c r="K255" s="59"/>
      <c r="L255" s="51"/>
      <c r="M255" s="59"/>
      <c r="N255" s="59"/>
      <c r="O255" s="259">
        <f t="shared" si="171"/>
        <v>535000</v>
      </c>
      <c r="P255" s="50">
        <f t="shared" si="179"/>
        <v>0.07</v>
      </c>
    </row>
    <row r="256" spans="1:16" ht="15">
      <c r="A256" s="301" t="s">
        <v>418</v>
      </c>
      <c r="B256" s="258">
        <v>2048000</v>
      </c>
      <c r="C256" s="51">
        <f>ROUND(((+$B$256*$B$58)+$B$256)/3,-3)</f>
        <v>730000</v>
      </c>
      <c r="D256" s="51">
        <v>0</v>
      </c>
      <c r="E256" s="51">
        <f>ROUND(((+$B$256*$B$58)+$B$256)/3,-3)</f>
        <v>730000</v>
      </c>
      <c r="F256" s="51">
        <v>0</v>
      </c>
      <c r="G256" s="51">
        <v>0</v>
      </c>
      <c r="H256" s="59"/>
      <c r="I256" s="51">
        <v>0</v>
      </c>
      <c r="J256" s="51"/>
      <c r="K256" s="59"/>
      <c r="L256" s="51">
        <f>ROUND(((+$B$256*$B$58)+$B$256)/3,-3)</f>
        <v>730000</v>
      </c>
      <c r="M256" s="51">
        <v>0</v>
      </c>
      <c r="N256" s="59"/>
      <c r="O256" s="259">
        <f t="shared" si="171"/>
        <v>2190000</v>
      </c>
      <c r="P256" s="50">
        <f t="shared" si="179"/>
        <v>0.0693359375</v>
      </c>
    </row>
    <row r="257" spans="1:16" ht="15">
      <c r="A257" s="301" t="s">
        <v>419</v>
      </c>
      <c r="B257" s="258">
        <v>1857000</v>
      </c>
      <c r="C257" s="51"/>
      <c r="D257" s="59"/>
      <c r="E257" s="51">
        <v>0</v>
      </c>
      <c r="F257" s="51">
        <f>ROUND(((+$B$257*$B$58)+$B$257)/3,-3)</f>
        <v>662000</v>
      </c>
      <c r="G257" s="59"/>
      <c r="H257" s="59"/>
      <c r="I257" s="51">
        <f>ROUND(((+$B$257*$B$58)+$B$257)/3,-3)</f>
        <v>662000</v>
      </c>
      <c r="J257" s="51">
        <v>0</v>
      </c>
      <c r="K257" s="59"/>
      <c r="L257" s="51"/>
      <c r="M257" s="51">
        <f>ROUND(((+$B$257*$B$58)+$B$257)/3,-3)</f>
        <v>662000</v>
      </c>
      <c r="N257" s="51">
        <v>0</v>
      </c>
      <c r="O257" s="259">
        <f t="shared" si="171"/>
        <v>1986000</v>
      </c>
      <c r="P257" s="50">
        <f t="shared" si="179"/>
        <v>0.06946688206785137</v>
      </c>
    </row>
    <row r="258" spans="1:16" ht="15">
      <c r="A258" s="302" t="s">
        <v>510</v>
      </c>
      <c r="B258" s="258">
        <v>800000</v>
      </c>
      <c r="C258" s="51">
        <f>ROUND(((+$B$258*$B$58)+$B$258)/5,-3)</f>
        <v>171000</v>
      </c>
      <c r="D258" s="76"/>
      <c r="E258" s="51">
        <f>ROUND(((+$B$258*$B$58)+$B$258)/5,-3)</f>
        <v>171000</v>
      </c>
      <c r="F258" s="76"/>
      <c r="G258" s="76"/>
      <c r="H258" s="51">
        <f>ROUND(((+$B$258*$B$58)+$B$258)/5,-3)</f>
        <v>171000</v>
      </c>
      <c r="I258" s="76"/>
      <c r="J258" s="76"/>
      <c r="K258" s="51">
        <f>ROUND(((+$B$258*$B$58)+$B$258)/5,-3)</f>
        <v>171000</v>
      </c>
      <c r="L258" s="76"/>
      <c r="M258" s="76"/>
      <c r="N258" s="51">
        <f>ROUND(((+$B$258*$B$58)+$B$258)/5,-3)</f>
        <v>171000</v>
      </c>
      <c r="O258" s="259">
        <f t="shared" si="171"/>
        <v>855000</v>
      </c>
      <c r="P258" s="50">
        <f t="shared" si="179"/>
        <v>0.06875</v>
      </c>
    </row>
    <row r="259" spans="1:16" ht="15">
      <c r="A259" s="163" t="s">
        <v>420</v>
      </c>
      <c r="B259" s="258">
        <v>1710000</v>
      </c>
      <c r="C259" s="51">
        <f>ROUND(((+$B$259*$B$58)+$B$259)/12,-3)</f>
        <v>152000</v>
      </c>
      <c r="D259" s="51">
        <f aca="true" t="shared" si="181" ref="D259:N259">ROUND(((+$B$259*$B$58)+$B$259)/12,-3)</f>
        <v>152000</v>
      </c>
      <c r="E259" s="51">
        <f t="shared" si="181"/>
        <v>152000</v>
      </c>
      <c r="F259" s="51">
        <f t="shared" si="181"/>
        <v>152000</v>
      </c>
      <c r="G259" s="51">
        <f t="shared" si="181"/>
        <v>152000</v>
      </c>
      <c r="H259" s="51">
        <f t="shared" si="181"/>
        <v>152000</v>
      </c>
      <c r="I259" s="51">
        <f t="shared" si="181"/>
        <v>152000</v>
      </c>
      <c r="J259" s="51">
        <f t="shared" si="181"/>
        <v>152000</v>
      </c>
      <c r="K259" s="51">
        <f t="shared" si="181"/>
        <v>152000</v>
      </c>
      <c r="L259" s="51">
        <f t="shared" si="181"/>
        <v>152000</v>
      </c>
      <c r="M259" s="51">
        <f t="shared" si="181"/>
        <v>152000</v>
      </c>
      <c r="N259" s="51">
        <f t="shared" si="181"/>
        <v>152000</v>
      </c>
      <c r="O259" s="259">
        <f t="shared" si="171"/>
        <v>1824000</v>
      </c>
      <c r="P259" s="50">
        <f t="shared" si="179"/>
        <v>0.06666666666666667</v>
      </c>
    </row>
    <row r="260" spans="1:16" ht="15">
      <c r="A260" s="163" t="s">
        <v>511</v>
      </c>
      <c r="B260" s="258">
        <v>200000</v>
      </c>
      <c r="C260" s="51"/>
      <c r="D260" s="51"/>
      <c r="E260" s="51"/>
      <c r="F260" s="51"/>
      <c r="G260" s="51"/>
      <c r="H260" s="51">
        <f>ROUND(((+$B$260*$B$58)+$B$260),-3)</f>
        <v>214000</v>
      </c>
      <c r="I260" s="51"/>
      <c r="J260" s="51"/>
      <c r="K260" s="51"/>
      <c r="L260" s="51"/>
      <c r="M260" s="51"/>
      <c r="N260" s="51"/>
      <c r="O260" s="259">
        <f aca="true" t="shared" si="182" ref="O260">SUM(C260:N260)</f>
        <v>214000</v>
      </c>
      <c r="P260" s="50">
        <f aca="true" t="shared" si="183" ref="P260">+(O260-B260)/B260</f>
        <v>0.07</v>
      </c>
    </row>
    <row r="261" spans="1:16" ht="15">
      <c r="A261" s="163" t="s">
        <v>421</v>
      </c>
      <c r="B261" s="258">
        <v>470000</v>
      </c>
      <c r="C261" s="51"/>
      <c r="D261" s="51"/>
      <c r="E261" s="51">
        <f>ROUND(((+$B$261*$B$58)+$B$261),-3)</f>
        <v>503000</v>
      </c>
      <c r="F261" s="59"/>
      <c r="G261" s="51"/>
      <c r="H261" s="59"/>
      <c r="I261" s="51"/>
      <c r="J261" s="59"/>
      <c r="K261" s="59"/>
      <c r="L261" s="59"/>
      <c r="M261" s="51"/>
      <c r="N261" s="59"/>
      <c r="O261" s="259">
        <f t="shared" si="171"/>
        <v>503000</v>
      </c>
      <c r="P261" s="50">
        <f t="shared" si="179"/>
        <v>0.07021276595744681</v>
      </c>
    </row>
    <row r="262" spans="1:16" ht="15">
      <c r="A262" s="163" t="s">
        <v>509</v>
      </c>
      <c r="B262" s="258">
        <f>450000+60000</f>
        <v>510000</v>
      </c>
      <c r="C262" s="51"/>
      <c r="D262" s="51"/>
      <c r="E262" s="51"/>
      <c r="F262" s="51">
        <f>ROUND(((+$B$262*$B$58)+$B$262)/2,-3)</f>
        <v>273000</v>
      </c>
      <c r="G262" s="51"/>
      <c r="H262" s="59"/>
      <c r="I262" s="51"/>
      <c r="J262" s="59"/>
      <c r="K262" s="51">
        <f>ROUND(((+$B$262*$B$58)+$B$262)/2,-3)</f>
        <v>273000</v>
      </c>
      <c r="L262" s="59"/>
      <c r="M262" s="51"/>
      <c r="N262" s="59"/>
      <c r="O262" s="259">
        <f t="shared" si="171"/>
        <v>546000</v>
      </c>
      <c r="P262" s="50">
        <f t="shared" si="179"/>
        <v>0.07058823529411765</v>
      </c>
    </row>
    <row r="263" spans="1:16" ht="15">
      <c r="A263" s="163" t="s">
        <v>239</v>
      </c>
      <c r="B263" s="258">
        <v>6241377</v>
      </c>
      <c r="C263" s="51">
        <v>0</v>
      </c>
      <c r="D263" s="51">
        <v>0</v>
      </c>
      <c r="E263" s="51">
        <f>ROUND(((+$B$263*$B$58)+$B$263)/3,-3)</f>
        <v>2226000</v>
      </c>
      <c r="F263" s="51"/>
      <c r="G263" s="51"/>
      <c r="H263" s="51">
        <v>0</v>
      </c>
      <c r="I263" s="51">
        <f>ROUND(((+$B$263*$B$58)+$B$263)/3,-3)</f>
        <v>2226000</v>
      </c>
      <c r="J263" s="51"/>
      <c r="K263" s="51">
        <v>0</v>
      </c>
      <c r="L263" s="59"/>
      <c r="M263" s="51">
        <f>ROUND(((+$B$263*$B$58)+$B$263)/3,-3)</f>
        <v>2226000</v>
      </c>
      <c r="N263" s="51"/>
      <c r="O263" s="259">
        <f t="shared" si="171"/>
        <v>6678000</v>
      </c>
      <c r="P263" s="50">
        <f t="shared" si="179"/>
        <v>0.06995619716610613</v>
      </c>
    </row>
    <row r="264" spans="1:16" s="31" customFormat="1" ht="15">
      <c r="A264" s="29" t="s">
        <v>432</v>
      </c>
      <c r="B264" s="260">
        <f>+B265</f>
        <v>2327359</v>
      </c>
      <c r="C264" s="30">
        <f aca="true" t="shared" si="184" ref="C264:O264">SUM(C265:C265)</f>
        <v>0</v>
      </c>
      <c r="D264" s="30">
        <f t="shared" si="184"/>
        <v>0</v>
      </c>
      <c r="E264" s="30">
        <f t="shared" si="184"/>
        <v>0</v>
      </c>
      <c r="F264" s="30">
        <f t="shared" si="184"/>
        <v>1245000</v>
      </c>
      <c r="G264" s="30">
        <f t="shared" si="184"/>
        <v>0</v>
      </c>
      <c r="H264" s="30">
        <f t="shared" si="184"/>
        <v>0</v>
      </c>
      <c r="I264" s="30">
        <f t="shared" si="184"/>
        <v>0</v>
      </c>
      <c r="J264" s="30">
        <f t="shared" si="184"/>
        <v>0</v>
      </c>
      <c r="K264" s="30">
        <f t="shared" si="184"/>
        <v>1245000</v>
      </c>
      <c r="L264" s="30">
        <f t="shared" si="184"/>
        <v>0</v>
      </c>
      <c r="M264" s="30">
        <f t="shared" si="184"/>
        <v>0</v>
      </c>
      <c r="N264" s="30">
        <f t="shared" si="184"/>
        <v>0</v>
      </c>
      <c r="O264" s="260">
        <f t="shared" si="184"/>
        <v>2490000</v>
      </c>
      <c r="P264" s="50">
        <f t="shared" si="179"/>
        <v>0.06988221413198394</v>
      </c>
    </row>
    <row r="265" spans="1:16" ht="15">
      <c r="A265" s="163" t="s">
        <v>537</v>
      </c>
      <c r="B265" s="258">
        <v>2327359</v>
      </c>
      <c r="C265" s="51"/>
      <c r="D265" s="59"/>
      <c r="E265" s="59"/>
      <c r="F265" s="51">
        <f>ROUND(((+$B$265*$B$58)+$B$265)/2,-3)</f>
        <v>1245000</v>
      </c>
      <c r="G265" s="59"/>
      <c r="H265" s="59"/>
      <c r="I265" s="51"/>
      <c r="J265" s="59"/>
      <c r="K265" s="51">
        <f>ROUND(((+$B$265*$B$58)+$B$265)/2,-3)</f>
        <v>1245000</v>
      </c>
      <c r="L265" s="59"/>
      <c r="M265" s="59"/>
      <c r="N265" s="59"/>
      <c r="O265" s="259">
        <f aca="true" t="shared" si="185" ref="O265">SUM(C265:N265)</f>
        <v>2490000</v>
      </c>
      <c r="P265" s="50">
        <f t="shared" si="179"/>
        <v>0.06988221413198394</v>
      </c>
    </row>
    <row r="266" spans="1:16" s="31" customFormat="1" ht="15">
      <c r="A266" s="29" t="s">
        <v>61</v>
      </c>
      <c r="B266" s="260">
        <f aca="true" t="shared" si="186" ref="B266:O266">+B267+B280+B296+B301</f>
        <v>74322913</v>
      </c>
      <c r="C266" s="30">
        <f t="shared" si="186"/>
        <v>5064600</v>
      </c>
      <c r="D266" s="30">
        <f t="shared" si="186"/>
        <v>5452500</v>
      </c>
      <c r="E266" s="30">
        <f t="shared" si="186"/>
        <v>4572200</v>
      </c>
      <c r="F266" s="30">
        <f t="shared" si="186"/>
        <v>4344000</v>
      </c>
      <c r="G266" s="30">
        <f t="shared" si="186"/>
        <v>5758200</v>
      </c>
      <c r="H266" s="30">
        <f t="shared" si="186"/>
        <v>5171800</v>
      </c>
      <c r="I266" s="30">
        <f t="shared" si="186"/>
        <v>4601400</v>
      </c>
      <c r="J266" s="30">
        <f t="shared" si="186"/>
        <v>16271800</v>
      </c>
      <c r="K266" s="30">
        <f t="shared" si="186"/>
        <v>17812400</v>
      </c>
      <c r="L266" s="30">
        <f t="shared" si="186"/>
        <v>5457000</v>
      </c>
      <c r="M266" s="30">
        <f t="shared" si="186"/>
        <v>7235000</v>
      </c>
      <c r="N266" s="30">
        <f t="shared" si="186"/>
        <v>3272000</v>
      </c>
      <c r="O266" s="260">
        <f t="shared" si="186"/>
        <v>85012900</v>
      </c>
      <c r="P266" s="50">
        <f aca="true" t="shared" si="187" ref="P266:P312">+(O266-B266)/B266</f>
        <v>0.14383164717992147</v>
      </c>
    </row>
    <row r="267" spans="1:16" ht="15">
      <c r="A267" s="163" t="s">
        <v>63</v>
      </c>
      <c r="B267" s="260">
        <f aca="true" t="shared" si="188" ref="B267:O267">SUM(B268:B279)</f>
        <v>16989553</v>
      </c>
      <c r="C267" s="51">
        <f t="shared" si="188"/>
        <v>516000</v>
      </c>
      <c r="D267" s="51">
        <f t="shared" si="188"/>
        <v>737000</v>
      </c>
      <c r="E267" s="51">
        <f t="shared" si="188"/>
        <v>483000</v>
      </c>
      <c r="F267" s="51">
        <f t="shared" si="188"/>
        <v>502000</v>
      </c>
      <c r="G267" s="51">
        <f t="shared" si="188"/>
        <v>680000</v>
      </c>
      <c r="H267" s="51">
        <f t="shared" si="188"/>
        <v>1018000</v>
      </c>
      <c r="I267" s="51">
        <f t="shared" si="188"/>
        <v>166000</v>
      </c>
      <c r="J267" s="51">
        <f t="shared" si="188"/>
        <v>202000</v>
      </c>
      <c r="K267" s="51">
        <f t="shared" si="188"/>
        <v>13108000</v>
      </c>
      <c r="L267" s="51">
        <f t="shared" si="188"/>
        <v>951000</v>
      </c>
      <c r="M267" s="51">
        <f t="shared" si="188"/>
        <v>1052000</v>
      </c>
      <c r="N267" s="51">
        <f t="shared" si="188"/>
        <v>166000</v>
      </c>
      <c r="O267" s="260">
        <f t="shared" si="188"/>
        <v>19581000</v>
      </c>
      <c r="P267" s="50">
        <f t="shared" si="187"/>
        <v>0.1525317940972314</v>
      </c>
    </row>
    <row r="268" spans="1:16" ht="15">
      <c r="A268" s="163" t="s">
        <v>64</v>
      </c>
      <c r="B268" s="258">
        <v>480000</v>
      </c>
      <c r="C268" s="51"/>
      <c r="D268" s="59"/>
      <c r="E268" s="59"/>
      <c r="F268" s="59"/>
      <c r="G268" s="51">
        <v>0</v>
      </c>
      <c r="H268" s="51">
        <v>0</v>
      </c>
      <c r="I268" s="59"/>
      <c r="J268" s="59"/>
      <c r="K268" s="51">
        <v>0</v>
      </c>
      <c r="L268" s="51"/>
      <c r="M268" s="51">
        <v>400000</v>
      </c>
      <c r="N268" s="59"/>
      <c r="O268" s="259">
        <f aca="true" t="shared" si="189" ref="O268:O317">SUM(C268:N268)</f>
        <v>400000</v>
      </c>
      <c r="P268" s="50">
        <f t="shared" si="187"/>
        <v>-0.16666666666666666</v>
      </c>
    </row>
    <row r="269" spans="1:16" ht="15">
      <c r="A269" s="163" t="s">
        <v>436</v>
      </c>
      <c r="B269" s="258">
        <v>0</v>
      </c>
      <c r="C269" s="51">
        <v>350000</v>
      </c>
      <c r="D269" s="51">
        <v>0</v>
      </c>
      <c r="E269" s="51">
        <v>0</v>
      </c>
      <c r="F269" s="59"/>
      <c r="G269" s="51">
        <v>350000</v>
      </c>
      <c r="H269" s="59"/>
      <c r="I269" s="59"/>
      <c r="J269" s="51">
        <v>0</v>
      </c>
      <c r="K269" s="51"/>
      <c r="L269" s="59"/>
      <c r="M269" s="51">
        <v>350000</v>
      </c>
      <c r="N269" s="59"/>
      <c r="O269" s="259">
        <f t="shared" si="189"/>
        <v>1050000</v>
      </c>
      <c r="P269" s="50">
        <v>1</v>
      </c>
    </row>
    <row r="270" spans="1:16" ht="15">
      <c r="A270" s="163" t="s">
        <v>628</v>
      </c>
      <c r="B270" s="258">
        <v>103000</v>
      </c>
      <c r="C270" s="73">
        <v>0</v>
      </c>
      <c r="D270" s="73">
        <v>0</v>
      </c>
      <c r="E270" s="73">
        <v>110000</v>
      </c>
      <c r="F270" s="73">
        <v>0</v>
      </c>
      <c r="G270" s="73">
        <v>0</v>
      </c>
      <c r="H270" s="73">
        <v>110000</v>
      </c>
      <c r="I270" s="73">
        <v>0</v>
      </c>
      <c r="J270" s="73">
        <v>0</v>
      </c>
      <c r="K270" s="73">
        <v>0</v>
      </c>
      <c r="L270" s="73">
        <v>0</v>
      </c>
      <c r="M270" s="73">
        <v>0</v>
      </c>
      <c r="N270" s="73">
        <v>0</v>
      </c>
      <c r="O270" s="259">
        <f t="shared" si="189"/>
        <v>220000</v>
      </c>
      <c r="P270" s="50">
        <f t="shared" si="187"/>
        <v>1.1359223300970873</v>
      </c>
    </row>
    <row r="271" spans="1:16" ht="15">
      <c r="A271" s="163" t="s">
        <v>631</v>
      </c>
      <c r="B271" s="258">
        <v>1500000</v>
      </c>
      <c r="C271" s="51"/>
      <c r="D271" s="51">
        <f>ROUND(((+$B$271*$B$58)+$B$271)/3,-3)</f>
        <v>535000</v>
      </c>
      <c r="E271" s="51"/>
      <c r="F271" s="59"/>
      <c r="G271" s="51">
        <v>0</v>
      </c>
      <c r="H271" s="51">
        <f>ROUND(((+$B$271*$B$58)+$B$271)/3,-3)</f>
        <v>535000</v>
      </c>
      <c r="I271" s="51">
        <v>0</v>
      </c>
      <c r="J271" s="51">
        <v>0</v>
      </c>
      <c r="K271" s="51">
        <v>0</v>
      </c>
      <c r="L271" s="51">
        <f>ROUND(((+$B$271*$B$58)+$B$271)/3,-3)</f>
        <v>535000</v>
      </c>
      <c r="M271" s="51"/>
      <c r="N271" s="59"/>
      <c r="O271" s="259">
        <f t="shared" si="189"/>
        <v>1605000</v>
      </c>
      <c r="P271" s="50">
        <f t="shared" si="187"/>
        <v>0.07</v>
      </c>
    </row>
    <row r="272" spans="1:16" ht="15">
      <c r="A272" s="163" t="s">
        <v>629</v>
      </c>
      <c r="B272" s="258">
        <v>580000</v>
      </c>
      <c r="C272" s="51"/>
      <c r="D272" s="51"/>
      <c r="E272" s="51">
        <f>ROUND(((+$B$272*$B$58)+$B$272)/3,-3)</f>
        <v>207000</v>
      </c>
      <c r="F272" s="59"/>
      <c r="G272" s="51"/>
      <c r="H272" s="51">
        <f>ROUND(((+$B$272*$B$58)+$B$272)/3,-3)</f>
        <v>207000</v>
      </c>
      <c r="I272" s="51"/>
      <c r="J272" s="51"/>
      <c r="K272" s="51">
        <f>ROUND(((+$B$272*$B$58)+$B$272)/3,-3)</f>
        <v>207000</v>
      </c>
      <c r="L272" s="51"/>
      <c r="M272" s="51"/>
      <c r="N272" s="59"/>
      <c r="O272" s="259">
        <f aca="true" t="shared" si="190" ref="O272">SUM(C272:N272)</f>
        <v>621000</v>
      </c>
      <c r="P272" s="50">
        <f aca="true" t="shared" si="191" ref="P272">+(O272-B272)/B272</f>
        <v>0.0706896551724138</v>
      </c>
    </row>
    <row r="273" spans="1:16" ht="15">
      <c r="A273" s="163" t="s">
        <v>632</v>
      </c>
      <c r="B273" s="258">
        <v>1862053</v>
      </c>
      <c r="C273" s="51">
        <f aca="true" t="shared" si="192" ref="C273:N273">ROUND(((+$B$273*$B$58)+$B$273)/12,-3)</f>
        <v>166000</v>
      </c>
      <c r="D273" s="51">
        <f t="shared" si="192"/>
        <v>166000</v>
      </c>
      <c r="E273" s="51">
        <f t="shared" si="192"/>
        <v>166000</v>
      </c>
      <c r="F273" s="51">
        <f t="shared" si="192"/>
        <v>166000</v>
      </c>
      <c r="G273" s="51">
        <f t="shared" si="192"/>
        <v>166000</v>
      </c>
      <c r="H273" s="51">
        <f t="shared" si="192"/>
        <v>166000</v>
      </c>
      <c r="I273" s="51">
        <f t="shared" si="192"/>
        <v>166000</v>
      </c>
      <c r="J273" s="51">
        <f t="shared" si="192"/>
        <v>166000</v>
      </c>
      <c r="K273" s="51">
        <f t="shared" si="192"/>
        <v>166000</v>
      </c>
      <c r="L273" s="51">
        <f t="shared" si="192"/>
        <v>166000</v>
      </c>
      <c r="M273" s="51">
        <f t="shared" si="192"/>
        <v>166000</v>
      </c>
      <c r="N273" s="51">
        <f t="shared" si="192"/>
        <v>166000</v>
      </c>
      <c r="O273" s="259">
        <f t="shared" si="189"/>
        <v>1992000</v>
      </c>
      <c r="P273" s="50">
        <f t="shared" si="187"/>
        <v>0.06978695021033236</v>
      </c>
    </row>
    <row r="274" spans="1:16" ht="15">
      <c r="A274" s="163" t="s">
        <v>519</v>
      </c>
      <c r="B274" s="258">
        <v>11902000</v>
      </c>
      <c r="C274" s="51"/>
      <c r="D274" s="59"/>
      <c r="E274" s="51"/>
      <c r="F274" s="59"/>
      <c r="G274" s="51"/>
      <c r="H274" s="51"/>
      <c r="I274" s="51"/>
      <c r="J274" s="51"/>
      <c r="K274" s="51">
        <f>ROUND(((+$B$274*$B$58)+$B$274),-3)</f>
        <v>12735000</v>
      </c>
      <c r="L274" s="59"/>
      <c r="M274" s="51"/>
      <c r="N274" s="51"/>
      <c r="O274" s="259">
        <f t="shared" si="189"/>
        <v>12735000</v>
      </c>
      <c r="P274" s="50">
        <f t="shared" si="187"/>
        <v>0.06998823727104689</v>
      </c>
    </row>
    <row r="275" spans="1:16" ht="15">
      <c r="A275" s="301" t="s">
        <v>297</v>
      </c>
      <c r="B275" s="258">
        <v>80000</v>
      </c>
      <c r="C275" s="51"/>
      <c r="D275" s="59"/>
      <c r="E275" s="51">
        <v>0</v>
      </c>
      <c r="F275" s="51">
        <f>ROUND(((+$B$275*$B$58)+$B$275),-3)</f>
        <v>86000</v>
      </c>
      <c r="G275" s="51"/>
      <c r="H275" s="51">
        <v>0</v>
      </c>
      <c r="I275" s="51"/>
      <c r="J275" s="51"/>
      <c r="K275" s="59"/>
      <c r="L275" s="51">
        <v>0</v>
      </c>
      <c r="M275" s="51"/>
      <c r="N275" s="59"/>
      <c r="O275" s="259">
        <f t="shared" si="189"/>
        <v>86000</v>
      </c>
      <c r="P275" s="50">
        <f t="shared" si="187"/>
        <v>0.075</v>
      </c>
    </row>
    <row r="276" spans="1:16" ht="15">
      <c r="A276" s="301" t="s">
        <v>520</v>
      </c>
      <c r="B276" s="258">
        <v>227500</v>
      </c>
      <c r="C276" s="73"/>
      <c r="D276" s="73"/>
      <c r="E276" s="73"/>
      <c r="F276" s="73">
        <v>250000</v>
      </c>
      <c r="G276" s="73"/>
      <c r="H276" s="73"/>
      <c r="I276" s="73"/>
      <c r="J276" s="73"/>
      <c r="K276" s="73"/>
      <c r="L276" s="73">
        <v>250000</v>
      </c>
      <c r="M276" s="73"/>
      <c r="N276" s="73"/>
      <c r="O276" s="259">
        <f t="shared" si="189"/>
        <v>500000</v>
      </c>
      <c r="P276" s="50">
        <f t="shared" si="187"/>
        <v>1.1978021978021978</v>
      </c>
    </row>
    <row r="277" spans="1:16" ht="15">
      <c r="A277" s="301" t="s">
        <v>664</v>
      </c>
      <c r="B277" s="258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>
        <v>100000</v>
      </c>
      <c r="N277" s="73"/>
      <c r="O277" s="259">
        <f t="shared" si="189"/>
        <v>100000</v>
      </c>
      <c r="P277" s="50">
        <v>1</v>
      </c>
    </row>
    <row r="278" spans="1:16" ht="15">
      <c r="A278" s="301" t="s">
        <v>627</v>
      </c>
      <c r="B278" s="258">
        <v>120000</v>
      </c>
      <c r="C278" s="73"/>
      <c r="D278" s="73"/>
      <c r="E278" s="73"/>
      <c r="F278" s="73"/>
      <c r="G278" s="51">
        <f>ROUND(((+$B$278*$B$58)+$B$278),-3)</f>
        <v>128000</v>
      </c>
      <c r="H278" s="73"/>
      <c r="I278" s="73"/>
      <c r="J278" s="73"/>
      <c r="K278" s="73"/>
      <c r="L278" s="73"/>
      <c r="M278" s="73"/>
      <c r="N278" s="73"/>
      <c r="O278" s="259">
        <f t="shared" si="189"/>
        <v>128000</v>
      </c>
      <c r="P278" s="50">
        <f t="shared" si="187"/>
        <v>0.06666666666666667</v>
      </c>
    </row>
    <row r="279" spans="1:16" ht="15">
      <c r="A279" s="301" t="s">
        <v>626</v>
      </c>
      <c r="B279" s="258">
        <v>135000</v>
      </c>
      <c r="C279" s="51"/>
      <c r="D279" s="51">
        <f>ROUND(((+$B$279*$B$58)+$B$279)/4,-3)</f>
        <v>36000</v>
      </c>
      <c r="E279" s="51"/>
      <c r="F279" s="69">
        <v>0</v>
      </c>
      <c r="G279" s="51">
        <f>ROUND(((+$B$279*$B$58)+$B$279)/4,-3)</f>
        <v>36000</v>
      </c>
      <c r="H279" s="51"/>
      <c r="I279" s="51"/>
      <c r="J279" s="51">
        <f>ROUND(((+$B$279*$B$58)+$B$279)/4,-3)</f>
        <v>36000</v>
      </c>
      <c r="K279" s="69">
        <v>0</v>
      </c>
      <c r="L279" s="51"/>
      <c r="M279" s="51">
        <f>ROUND(((+$B$279*$B$58)+$B$279)/4,-3)</f>
        <v>36000</v>
      </c>
      <c r="N279" s="59"/>
      <c r="O279" s="259">
        <f t="shared" si="189"/>
        <v>144000</v>
      </c>
      <c r="P279" s="50">
        <f t="shared" si="187"/>
        <v>0.06666666666666667</v>
      </c>
    </row>
    <row r="280" spans="1:16" ht="15">
      <c r="A280" s="163" t="s">
        <v>65</v>
      </c>
      <c r="B280" s="260">
        <f aca="true" t="shared" si="193" ref="B280:O280">SUM(B281:B295)</f>
        <v>18955200</v>
      </c>
      <c r="C280" s="51">
        <f t="shared" si="193"/>
        <v>1480000</v>
      </c>
      <c r="D280" s="51">
        <f t="shared" si="193"/>
        <v>958000</v>
      </c>
      <c r="E280" s="51">
        <f t="shared" si="193"/>
        <v>1186000</v>
      </c>
      <c r="F280" s="51">
        <f t="shared" si="193"/>
        <v>505000</v>
      </c>
      <c r="G280" s="51">
        <f t="shared" si="193"/>
        <v>2080000</v>
      </c>
      <c r="H280" s="51">
        <f t="shared" si="193"/>
        <v>958000</v>
      </c>
      <c r="I280" s="51">
        <f t="shared" si="193"/>
        <v>1480000</v>
      </c>
      <c r="J280" s="51">
        <f t="shared" si="193"/>
        <v>6457000</v>
      </c>
      <c r="K280" s="51">
        <f t="shared" si="193"/>
        <v>1745000</v>
      </c>
      <c r="L280" s="51">
        <f t="shared" si="193"/>
        <v>1574000</v>
      </c>
      <c r="M280" s="51">
        <f t="shared" si="193"/>
        <v>2380000</v>
      </c>
      <c r="N280" s="51">
        <f t="shared" si="193"/>
        <v>505000</v>
      </c>
      <c r="O280" s="260">
        <f t="shared" si="193"/>
        <v>21308000</v>
      </c>
      <c r="P280" s="50">
        <f t="shared" si="187"/>
        <v>0.12412425086519795</v>
      </c>
    </row>
    <row r="281" spans="1:16" ht="15">
      <c r="A281" s="163" t="s">
        <v>66</v>
      </c>
      <c r="B281" s="258">
        <v>0</v>
      </c>
      <c r="C281" s="51"/>
      <c r="D281" s="59"/>
      <c r="E281" s="59"/>
      <c r="F281" s="59"/>
      <c r="G281" s="51">
        <v>0</v>
      </c>
      <c r="H281" s="59"/>
      <c r="I281" s="59"/>
      <c r="J281" s="59"/>
      <c r="K281" s="51">
        <v>800000</v>
      </c>
      <c r="L281" s="51">
        <v>0</v>
      </c>
      <c r="M281" s="59"/>
      <c r="N281" s="59"/>
      <c r="O281" s="259">
        <f t="shared" si="189"/>
        <v>800000</v>
      </c>
      <c r="P281" s="50">
        <v>1</v>
      </c>
    </row>
    <row r="282" spans="1:16" ht="15">
      <c r="A282" s="163" t="s">
        <v>633</v>
      </c>
      <c r="B282" s="258">
        <v>2000000</v>
      </c>
      <c r="C282" s="51">
        <f>ROUND(((+$B$282*$B$58)+$B$282)/4,-3)</f>
        <v>535000</v>
      </c>
      <c r="D282" s="51">
        <v>0</v>
      </c>
      <c r="E282" s="59"/>
      <c r="F282" s="59"/>
      <c r="G282" s="51">
        <f>ROUND(((+$B$282*$B$58)+$B$282)/4,-3)</f>
        <v>535000</v>
      </c>
      <c r="H282" s="59"/>
      <c r="I282" s="51">
        <f>ROUND(((+$B$282*$B$58)+$B$282)/4,-3)</f>
        <v>535000</v>
      </c>
      <c r="J282" s="51">
        <v>0</v>
      </c>
      <c r="K282" s="51">
        <v>0</v>
      </c>
      <c r="L282" s="51"/>
      <c r="M282" s="51">
        <f>ROUND(((+$B$282*$B$58)+$B$282)/4,-3)</f>
        <v>535000</v>
      </c>
      <c r="N282" s="59"/>
      <c r="O282" s="259">
        <f t="shared" si="189"/>
        <v>2140000</v>
      </c>
      <c r="P282" s="50">
        <f t="shared" si="187"/>
        <v>0.07</v>
      </c>
    </row>
    <row r="283" spans="1:16" ht="15">
      <c r="A283" s="163" t="s">
        <v>637</v>
      </c>
      <c r="B283" s="258">
        <v>1193000</v>
      </c>
      <c r="C283" s="51">
        <v>0</v>
      </c>
      <c r="D283" s="51">
        <v>0</v>
      </c>
      <c r="E283" s="59">
        <v>0</v>
      </c>
      <c r="F283" s="59">
        <v>0</v>
      </c>
      <c r="G283" s="51">
        <v>0</v>
      </c>
      <c r="H283" s="59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9">
        <v>0</v>
      </c>
      <c r="O283" s="259">
        <f aca="true" t="shared" si="194" ref="O283">SUM(C283:N283)</f>
        <v>0</v>
      </c>
      <c r="P283" s="50">
        <f aca="true" t="shared" si="195" ref="P283">+(O283-B283)/B283</f>
        <v>-1</v>
      </c>
    </row>
    <row r="284" spans="1:16" ht="15">
      <c r="A284" s="163" t="s">
        <v>634</v>
      </c>
      <c r="B284" s="258">
        <v>1270000</v>
      </c>
      <c r="C284" s="51"/>
      <c r="D284" s="51">
        <f>ROUND(((+$B$284*$B$58)+$B$284)/3,-3)</f>
        <v>453000</v>
      </c>
      <c r="E284" s="59"/>
      <c r="F284" s="59"/>
      <c r="G284" s="59"/>
      <c r="H284" s="51">
        <f>ROUND(((+$B$284*$B$58)+$B$284)/3,-3)</f>
        <v>453000</v>
      </c>
      <c r="I284" s="59"/>
      <c r="J284" s="59"/>
      <c r="K284" s="59"/>
      <c r="L284" s="51">
        <f>ROUND(((+$B$284*$B$58)+$B$284)/3,-3)</f>
        <v>453000</v>
      </c>
      <c r="M284" s="51">
        <v>0</v>
      </c>
      <c r="N284" s="59"/>
      <c r="O284" s="259">
        <f t="shared" si="189"/>
        <v>1359000</v>
      </c>
      <c r="P284" s="50">
        <f t="shared" si="187"/>
        <v>0.07007874015748032</v>
      </c>
    </row>
    <row r="285" spans="1:16" ht="15">
      <c r="A285" s="163" t="s">
        <v>635</v>
      </c>
      <c r="B285" s="258">
        <v>3000000</v>
      </c>
      <c r="C285" s="51">
        <f>ROUND(((+$B$285*$B$58)+$B$285)/6,-3)</f>
        <v>535000</v>
      </c>
      <c r="D285" s="51">
        <v>0</v>
      </c>
      <c r="E285" s="51">
        <f>ROUND(((+$B$285*$B$58)+$B$285)/6,-3)</f>
        <v>535000</v>
      </c>
      <c r="F285" s="59"/>
      <c r="G285" s="51">
        <f>ROUND(((+$B$285*$B$58)+$B$285)/6,-3)</f>
        <v>535000</v>
      </c>
      <c r="H285" s="51"/>
      <c r="I285" s="51">
        <f>ROUND(((+$B$285*$B$58)+$B$285)/6,-3)</f>
        <v>535000</v>
      </c>
      <c r="J285" s="51">
        <v>0</v>
      </c>
      <c r="K285" s="51">
        <f>ROUND(((+$B$285*$B$58)+$B$285)/6,-3)</f>
        <v>535000</v>
      </c>
      <c r="L285" s="51">
        <v>0</v>
      </c>
      <c r="M285" s="51">
        <f>ROUND(((+$B$285*$B$58)+$B$285)/6,-3)</f>
        <v>535000</v>
      </c>
      <c r="N285" s="59"/>
      <c r="O285" s="259">
        <f t="shared" si="189"/>
        <v>3210000</v>
      </c>
      <c r="P285" s="50">
        <f t="shared" si="187"/>
        <v>0.07</v>
      </c>
    </row>
    <row r="286" spans="1:16" ht="15">
      <c r="A286" s="163" t="s">
        <v>437</v>
      </c>
      <c r="B286" s="258">
        <v>5000000</v>
      </c>
      <c r="C286" s="51"/>
      <c r="D286" s="59"/>
      <c r="E286" s="51"/>
      <c r="F286" s="59"/>
      <c r="G286" s="51"/>
      <c r="H286" s="59"/>
      <c r="I286" s="59"/>
      <c r="J286" s="51">
        <f>ROUND(((+$B$286*$B$58)+$B$286),-3)</f>
        <v>5350000</v>
      </c>
      <c r="K286" s="59"/>
      <c r="L286" s="51"/>
      <c r="M286" s="59"/>
      <c r="N286" s="59"/>
      <c r="O286" s="259">
        <f t="shared" si="189"/>
        <v>5350000</v>
      </c>
      <c r="P286" s="50">
        <f t="shared" si="187"/>
        <v>0.07</v>
      </c>
    </row>
    <row r="287" spans="1:16" ht="15">
      <c r="A287" s="163" t="s">
        <v>636</v>
      </c>
      <c r="B287" s="258">
        <v>4600000</v>
      </c>
      <c r="C287" s="51">
        <f>ROUND(((+$B$287*$B$58)+$B$287)/12,-3)</f>
        <v>410000</v>
      </c>
      <c r="D287" s="51">
        <f aca="true" t="shared" si="196" ref="D287:N287">ROUND(((+$B$287*$B$58)+$B$287)/12,-3)</f>
        <v>410000</v>
      </c>
      <c r="E287" s="51">
        <f t="shared" si="196"/>
        <v>410000</v>
      </c>
      <c r="F287" s="51">
        <f t="shared" si="196"/>
        <v>410000</v>
      </c>
      <c r="G287" s="51">
        <f t="shared" si="196"/>
        <v>410000</v>
      </c>
      <c r="H287" s="51">
        <f t="shared" si="196"/>
        <v>410000</v>
      </c>
      <c r="I287" s="51">
        <f t="shared" si="196"/>
        <v>410000</v>
      </c>
      <c r="J287" s="51">
        <f t="shared" si="196"/>
        <v>410000</v>
      </c>
      <c r="K287" s="51">
        <f t="shared" si="196"/>
        <v>410000</v>
      </c>
      <c r="L287" s="51">
        <f t="shared" si="196"/>
        <v>410000</v>
      </c>
      <c r="M287" s="51">
        <f t="shared" si="196"/>
        <v>410000</v>
      </c>
      <c r="N287" s="51">
        <f t="shared" si="196"/>
        <v>410000</v>
      </c>
      <c r="O287" s="259">
        <f t="shared" si="189"/>
        <v>4920000</v>
      </c>
      <c r="P287" s="50">
        <f t="shared" si="187"/>
        <v>0.06956521739130435</v>
      </c>
    </row>
    <row r="288" spans="1:16" ht="15">
      <c r="A288" s="163" t="s">
        <v>240</v>
      </c>
      <c r="B288" s="258">
        <v>312000</v>
      </c>
      <c r="C288" s="51"/>
      <c r="D288" s="59"/>
      <c r="E288" s="51"/>
      <c r="F288" s="59"/>
      <c r="G288" s="51"/>
      <c r="H288" s="59"/>
      <c r="I288" s="59"/>
      <c r="J288" s="51">
        <f>ROUND(((+$B$288*$B$58)+$B$288),-3)</f>
        <v>334000</v>
      </c>
      <c r="K288" s="59"/>
      <c r="L288" s="51"/>
      <c r="M288" s="59"/>
      <c r="N288" s="59"/>
      <c r="O288" s="259">
        <f t="shared" si="189"/>
        <v>334000</v>
      </c>
      <c r="P288" s="50">
        <f t="shared" si="187"/>
        <v>0.07051282051282051</v>
      </c>
    </row>
    <row r="289" spans="1:16" ht="15">
      <c r="A289" s="163" t="s">
        <v>440</v>
      </c>
      <c r="B289" s="258">
        <v>250000</v>
      </c>
      <c r="C289" s="51"/>
      <c r="D289" s="59"/>
      <c r="E289" s="51"/>
      <c r="F289" s="59"/>
      <c r="G289" s="51"/>
      <c r="H289" s="59"/>
      <c r="I289" s="59"/>
      <c r="J289" s="51">
        <f>ROUND(((+$B$289*$B$58)+$B$289),-3)</f>
        <v>268000</v>
      </c>
      <c r="K289" s="59"/>
      <c r="L289" s="51"/>
      <c r="M289" s="59"/>
      <c r="N289" s="59"/>
      <c r="O289" s="259">
        <f t="shared" si="189"/>
        <v>268000</v>
      </c>
      <c r="P289" s="50">
        <f t="shared" si="187"/>
        <v>0.072</v>
      </c>
    </row>
    <row r="290" spans="1:16" ht="15">
      <c r="A290" s="163" t="s">
        <v>438</v>
      </c>
      <c r="B290" s="258">
        <v>0</v>
      </c>
      <c r="C290" s="73">
        <v>0</v>
      </c>
      <c r="D290" s="51">
        <v>0</v>
      </c>
      <c r="E290" s="73">
        <v>0</v>
      </c>
      <c r="F290" s="51">
        <v>0</v>
      </c>
      <c r="G290" s="73">
        <v>0</v>
      </c>
      <c r="H290" s="51">
        <v>0</v>
      </c>
      <c r="I290" s="73">
        <v>0</v>
      </c>
      <c r="J290" s="51">
        <v>0</v>
      </c>
      <c r="K290" s="73">
        <v>0</v>
      </c>
      <c r="L290" s="51">
        <v>0</v>
      </c>
      <c r="M290" s="51">
        <v>400000</v>
      </c>
      <c r="N290" s="73">
        <v>0</v>
      </c>
      <c r="O290" s="259">
        <f t="shared" si="189"/>
        <v>400000</v>
      </c>
      <c r="P290" s="50">
        <v>1</v>
      </c>
    </row>
    <row r="291" spans="1:16" ht="15">
      <c r="A291" s="163" t="s">
        <v>630</v>
      </c>
      <c r="B291" s="258">
        <f>189700+340300</f>
        <v>530000</v>
      </c>
      <c r="C291" s="73"/>
      <c r="D291" s="51">
        <f>ROUND(((+$B$291*$B$58)+$B$291)/6,-3)</f>
        <v>95000</v>
      </c>
      <c r="E291" s="73"/>
      <c r="F291" s="51">
        <f>ROUND(((+$B$291*$B$58)+$B$291)/6,-3)</f>
        <v>95000</v>
      </c>
      <c r="G291" s="73"/>
      <c r="H291" s="51">
        <f>ROUND(((+$B$291*$B$58)+$B$291)/6,-3)</f>
        <v>95000</v>
      </c>
      <c r="I291" s="73"/>
      <c r="J291" s="51">
        <f>ROUND(((+$B$291*$B$58)+$B$291)/6,-3)</f>
        <v>95000</v>
      </c>
      <c r="K291" s="73"/>
      <c r="L291" s="51">
        <f>ROUND(((+$B$291*$B$58)+$B$291)/6,-3)</f>
        <v>95000</v>
      </c>
      <c r="M291" s="51"/>
      <c r="N291" s="51">
        <f>ROUND(((+$B$291*$B$58)+$B$291)/6,-3)</f>
        <v>95000</v>
      </c>
      <c r="O291" s="259">
        <f t="shared" si="189"/>
        <v>570000</v>
      </c>
      <c r="P291" s="50">
        <f t="shared" si="187"/>
        <v>0.07547169811320754</v>
      </c>
    </row>
    <row r="292" spans="1:16" ht="15">
      <c r="A292" s="163" t="s">
        <v>663</v>
      </c>
      <c r="B292" s="258"/>
      <c r="C292" s="73"/>
      <c r="D292" s="51"/>
      <c r="E292" s="73"/>
      <c r="F292" s="51"/>
      <c r="G292" s="73"/>
      <c r="H292" s="51"/>
      <c r="I292" s="73"/>
      <c r="J292" s="51"/>
      <c r="K292" s="73"/>
      <c r="L292" s="51"/>
      <c r="M292" s="51">
        <v>500000</v>
      </c>
      <c r="N292" s="51"/>
      <c r="O292" s="259">
        <f t="shared" si="189"/>
        <v>500000</v>
      </c>
      <c r="P292" s="50">
        <v>1</v>
      </c>
    </row>
    <row r="293" spans="1:16" ht="15">
      <c r="A293" s="163" t="s">
        <v>524</v>
      </c>
      <c r="B293" s="258">
        <v>350000</v>
      </c>
      <c r="C293" s="73"/>
      <c r="D293" s="51"/>
      <c r="E293" s="73"/>
      <c r="F293" s="51"/>
      <c r="G293" s="73"/>
      <c r="H293" s="51"/>
      <c r="I293" s="73"/>
      <c r="J293" s="51"/>
      <c r="K293" s="73"/>
      <c r="L293" s="51">
        <f>ROUND(((+$B$293*$B$58)+$B$293),-3)</f>
        <v>375000</v>
      </c>
      <c r="M293" s="51"/>
      <c r="N293" s="51"/>
      <c r="O293" s="259">
        <f aca="true" t="shared" si="197" ref="O293:O294">SUM(C293:N293)</f>
        <v>375000</v>
      </c>
      <c r="P293" s="50">
        <v>1</v>
      </c>
    </row>
    <row r="294" spans="1:16" ht="15">
      <c r="A294" s="163" t="s">
        <v>592</v>
      </c>
      <c r="B294" s="258">
        <v>0</v>
      </c>
      <c r="C294" s="73"/>
      <c r="D294" s="51"/>
      <c r="E294" s="73"/>
      <c r="F294" s="51"/>
      <c r="G294" s="73">
        <v>600000</v>
      </c>
      <c r="H294" s="51"/>
      <c r="I294" s="73"/>
      <c r="J294" s="51"/>
      <c r="K294" s="73"/>
      <c r="L294" s="51"/>
      <c r="M294" s="51"/>
      <c r="N294" s="51"/>
      <c r="O294" s="259">
        <f t="shared" si="197"/>
        <v>600000</v>
      </c>
      <c r="P294" s="50">
        <v>1</v>
      </c>
    </row>
    <row r="295" spans="1:16" ht="15">
      <c r="A295" s="163" t="s">
        <v>439</v>
      </c>
      <c r="B295" s="258">
        <v>450200</v>
      </c>
      <c r="C295" s="51"/>
      <c r="D295" s="59"/>
      <c r="E295" s="51">
        <f>ROUND(((+$B$295*$B$58)+$B$295)/2,-3)</f>
        <v>241000</v>
      </c>
      <c r="F295" s="51">
        <v>0</v>
      </c>
      <c r="G295" s="51"/>
      <c r="H295" s="59"/>
      <c r="I295" s="59"/>
      <c r="J295" s="51"/>
      <c r="K295" s="59"/>
      <c r="L295" s="51">
        <f>ROUND(((+$B$295*$B$58)+$B$295)/2,-3)</f>
        <v>241000</v>
      </c>
      <c r="M295" s="59"/>
      <c r="N295" s="59"/>
      <c r="O295" s="259">
        <f t="shared" si="189"/>
        <v>482000</v>
      </c>
      <c r="P295" s="50">
        <f t="shared" si="187"/>
        <v>0.07063527321190582</v>
      </c>
    </row>
    <row r="296" spans="1:16" ht="15">
      <c r="A296" s="163" t="s">
        <v>67</v>
      </c>
      <c r="B296" s="260">
        <f aca="true" t="shared" si="198" ref="B296:O296">SUM(B297:B300)</f>
        <v>1037300</v>
      </c>
      <c r="C296" s="51">
        <f t="shared" si="198"/>
        <v>18000</v>
      </c>
      <c r="D296" s="51">
        <f t="shared" si="198"/>
        <v>18000</v>
      </c>
      <c r="E296" s="51">
        <f t="shared" si="198"/>
        <v>18000</v>
      </c>
      <c r="F296" s="51">
        <f t="shared" si="198"/>
        <v>500000</v>
      </c>
      <c r="G296" s="51">
        <f t="shared" si="198"/>
        <v>142000</v>
      </c>
      <c r="H296" s="51">
        <f t="shared" si="198"/>
        <v>142000</v>
      </c>
      <c r="I296" s="51">
        <f t="shared" si="198"/>
        <v>142000</v>
      </c>
      <c r="J296" s="51">
        <f t="shared" si="198"/>
        <v>18000</v>
      </c>
      <c r="K296" s="51">
        <f t="shared" si="198"/>
        <v>39000</v>
      </c>
      <c r="L296" s="51">
        <f t="shared" si="198"/>
        <v>39000</v>
      </c>
      <c r="M296" s="51">
        <f t="shared" si="198"/>
        <v>18000</v>
      </c>
      <c r="N296" s="51">
        <f t="shared" si="198"/>
        <v>18000</v>
      </c>
      <c r="O296" s="260">
        <f t="shared" si="198"/>
        <v>1112000</v>
      </c>
      <c r="P296" s="50">
        <f t="shared" si="187"/>
        <v>0.07201388219415791</v>
      </c>
    </row>
    <row r="297" spans="1:16" ht="15">
      <c r="A297" s="163" t="s">
        <v>298</v>
      </c>
      <c r="B297" s="258">
        <f>148500+84600+62600+51600</f>
        <v>347300</v>
      </c>
      <c r="C297" s="51"/>
      <c r="D297" s="51"/>
      <c r="E297" s="51"/>
      <c r="F297" s="51"/>
      <c r="G297" s="51">
        <f>ROUND(((+$B$297*$B$58)+$B$297)/3,-3)</f>
        <v>124000</v>
      </c>
      <c r="H297" s="51">
        <f>ROUND(((+$B$297*$B$58)+$B$297)/3,-3)</f>
        <v>124000</v>
      </c>
      <c r="I297" s="51">
        <f>ROUND(((+$B$297*$B$58)+$B$297)/3,-3)</f>
        <v>124000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259">
        <f t="shared" si="189"/>
        <v>372000</v>
      </c>
      <c r="P297" s="50">
        <f t="shared" si="187"/>
        <v>0.07112006910452058</v>
      </c>
    </row>
    <row r="298" spans="1:16" ht="15">
      <c r="A298" s="291" t="s">
        <v>538</v>
      </c>
      <c r="B298" s="258">
        <v>40000</v>
      </c>
      <c r="C298" s="51"/>
      <c r="D298" s="51"/>
      <c r="E298" s="51"/>
      <c r="F298" s="51"/>
      <c r="G298" s="51"/>
      <c r="H298" s="51"/>
      <c r="I298" s="51"/>
      <c r="J298" s="51"/>
      <c r="K298" s="51">
        <f>ROUND(((+$B$298*$B$58)+$B$298)/2,-3)</f>
        <v>21000</v>
      </c>
      <c r="L298" s="51">
        <f>ROUND(((+$B$298*$B$58)+$B$298)/2,-3)</f>
        <v>21000</v>
      </c>
      <c r="M298" s="51"/>
      <c r="N298" s="51">
        <v>0</v>
      </c>
      <c r="O298" s="259">
        <f t="shared" si="189"/>
        <v>42000</v>
      </c>
      <c r="P298" s="50">
        <f t="shared" si="187"/>
        <v>0.05</v>
      </c>
    </row>
    <row r="299" spans="1:16" ht="15">
      <c r="A299" s="163" t="s">
        <v>638</v>
      </c>
      <c r="B299" s="258">
        <v>200000</v>
      </c>
      <c r="C299" s="51">
        <f>ROUND(((+$B$299*$B$58)+$B$299)/12,-3)</f>
        <v>18000</v>
      </c>
      <c r="D299" s="51">
        <f aca="true" t="shared" si="199" ref="D299:N299">ROUND(((+$B$299*$B$58)+$B$299)/12,-3)</f>
        <v>18000</v>
      </c>
      <c r="E299" s="51">
        <f t="shared" si="199"/>
        <v>18000</v>
      </c>
      <c r="F299" s="51">
        <f t="shared" si="199"/>
        <v>18000</v>
      </c>
      <c r="G299" s="51">
        <f t="shared" si="199"/>
        <v>18000</v>
      </c>
      <c r="H299" s="51">
        <f t="shared" si="199"/>
        <v>18000</v>
      </c>
      <c r="I299" s="51">
        <f t="shared" si="199"/>
        <v>18000</v>
      </c>
      <c r="J299" s="51">
        <f t="shared" si="199"/>
        <v>18000</v>
      </c>
      <c r="K299" s="51">
        <f t="shared" si="199"/>
        <v>18000</v>
      </c>
      <c r="L299" s="51">
        <f t="shared" si="199"/>
        <v>18000</v>
      </c>
      <c r="M299" s="51">
        <f t="shared" si="199"/>
        <v>18000</v>
      </c>
      <c r="N299" s="51">
        <f t="shared" si="199"/>
        <v>18000</v>
      </c>
      <c r="O299" s="259">
        <f t="shared" si="189"/>
        <v>216000</v>
      </c>
      <c r="P299" s="50">
        <f t="shared" si="187"/>
        <v>0.08</v>
      </c>
    </row>
    <row r="300" spans="1:16" ht="15">
      <c r="A300" s="163" t="s">
        <v>461</v>
      </c>
      <c r="B300" s="258">
        <v>450000</v>
      </c>
      <c r="C300" s="51"/>
      <c r="D300" s="51"/>
      <c r="E300" s="51"/>
      <c r="F300" s="51">
        <f>ROUND(((+$B$300*$B$58)+$B$300),-3)</f>
        <v>482000</v>
      </c>
      <c r="G300" s="51"/>
      <c r="H300" s="51"/>
      <c r="I300" s="51"/>
      <c r="J300" s="51"/>
      <c r="K300" s="51"/>
      <c r="L300" s="51"/>
      <c r="M300" s="51"/>
      <c r="N300" s="51"/>
      <c r="O300" s="259">
        <f t="shared" si="189"/>
        <v>482000</v>
      </c>
      <c r="P300" s="50">
        <f t="shared" si="187"/>
        <v>0.07111111111111111</v>
      </c>
    </row>
    <row r="301" spans="1:16" ht="15">
      <c r="A301" s="163" t="s">
        <v>68</v>
      </c>
      <c r="B301" s="260">
        <f aca="true" t="shared" si="200" ref="B301:O301">SUM(B302:B317)</f>
        <v>37340860</v>
      </c>
      <c r="C301" s="51">
        <f t="shared" si="200"/>
        <v>3050600</v>
      </c>
      <c r="D301" s="51">
        <f t="shared" si="200"/>
        <v>3739500</v>
      </c>
      <c r="E301" s="51">
        <f t="shared" si="200"/>
        <v>2885200</v>
      </c>
      <c r="F301" s="51">
        <f t="shared" si="200"/>
        <v>2837000</v>
      </c>
      <c r="G301" s="51">
        <f t="shared" si="200"/>
        <v>2856200</v>
      </c>
      <c r="H301" s="51">
        <f t="shared" si="200"/>
        <v>3053800</v>
      </c>
      <c r="I301" s="51">
        <f t="shared" si="200"/>
        <v>2813400</v>
      </c>
      <c r="J301" s="51">
        <f t="shared" si="200"/>
        <v>9594800</v>
      </c>
      <c r="K301" s="51">
        <f t="shared" si="200"/>
        <v>2920400</v>
      </c>
      <c r="L301" s="51">
        <f t="shared" si="200"/>
        <v>2893000</v>
      </c>
      <c r="M301" s="51">
        <f t="shared" si="200"/>
        <v>3785000</v>
      </c>
      <c r="N301" s="51">
        <f t="shared" si="200"/>
        <v>2583000</v>
      </c>
      <c r="O301" s="260">
        <f t="shared" si="200"/>
        <v>43011900</v>
      </c>
      <c r="P301" s="50">
        <f t="shared" si="187"/>
        <v>0.15187223861475072</v>
      </c>
    </row>
    <row r="302" spans="1:16" ht="15">
      <c r="A302" s="163" t="s">
        <v>531</v>
      </c>
      <c r="B302" s="258">
        <f>740000+180000+160000+300000+160000+240000+120000+40000+220000+110000</f>
        <v>2270000</v>
      </c>
      <c r="C302" s="51">
        <v>192600</v>
      </c>
      <c r="D302" s="51">
        <f>791800+117700</f>
        <v>909500</v>
      </c>
      <c r="E302" s="51">
        <v>171200</v>
      </c>
      <c r="F302" s="51">
        <v>321000</v>
      </c>
      <c r="G302" s="51">
        <v>171200</v>
      </c>
      <c r="H302" s="51">
        <v>256800</v>
      </c>
      <c r="I302" s="51">
        <v>128400</v>
      </c>
      <c r="J302" s="51">
        <v>42800</v>
      </c>
      <c r="K302" s="51">
        <v>235400</v>
      </c>
      <c r="L302" s="51">
        <v>0</v>
      </c>
      <c r="M302" s="51">
        <v>0</v>
      </c>
      <c r="N302" s="51">
        <v>0</v>
      </c>
      <c r="O302" s="259">
        <f t="shared" si="189"/>
        <v>2428900</v>
      </c>
      <c r="P302" s="50">
        <f t="shared" si="187"/>
        <v>0.07</v>
      </c>
    </row>
    <row r="303" spans="1:16" ht="15">
      <c r="A303" s="163" t="s">
        <v>530</v>
      </c>
      <c r="B303" s="258">
        <f>145000+421000+470000+490000+210000+591000+999500+390000+620000+2911760+1452200+50000+80000+60000+40000</f>
        <v>8930460</v>
      </c>
      <c r="C303" s="51">
        <f aca="true" t="shared" si="201" ref="C303:N303">ROUND(((+$B$303*$B$58)+$B$303)/12,-3)</f>
        <v>796000</v>
      </c>
      <c r="D303" s="51">
        <f t="shared" si="201"/>
        <v>796000</v>
      </c>
      <c r="E303" s="51">
        <f t="shared" si="201"/>
        <v>796000</v>
      </c>
      <c r="F303" s="51">
        <f t="shared" si="201"/>
        <v>796000</v>
      </c>
      <c r="G303" s="51">
        <f t="shared" si="201"/>
        <v>796000</v>
      </c>
      <c r="H303" s="51">
        <f t="shared" si="201"/>
        <v>796000</v>
      </c>
      <c r="I303" s="51">
        <f t="shared" si="201"/>
        <v>796000</v>
      </c>
      <c r="J303" s="51">
        <f t="shared" si="201"/>
        <v>796000</v>
      </c>
      <c r="K303" s="51">
        <f t="shared" si="201"/>
        <v>796000</v>
      </c>
      <c r="L303" s="51">
        <f t="shared" si="201"/>
        <v>796000</v>
      </c>
      <c r="M303" s="51">
        <f t="shared" si="201"/>
        <v>796000</v>
      </c>
      <c r="N303" s="51">
        <f t="shared" si="201"/>
        <v>796000</v>
      </c>
      <c r="O303" s="259">
        <f t="shared" si="189"/>
        <v>9552000</v>
      </c>
      <c r="P303" s="50">
        <f t="shared" si="187"/>
        <v>0.06959775868208357</v>
      </c>
    </row>
    <row r="304" spans="1:16" ht="15">
      <c r="A304" s="163" t="s">
        <v>639</v>
      </c>
      <c r="B304" s="258">
        <v>1080000</v>
      </c>
      <c r="C304" s="51">
        <f>ROUND(((+$B$304*$B$58)+$B$304)/6,-3)</f>
        <v>193000</v>
      </c>
      <c r="D304" s="51">
        <v>0</v>
      </c>
      <c r="E304" s="51">
        <f>ROUND(((+$B$304*$B$58)+$B$304)/6,-3)</f>
        <v>193000</v>
      </c>
      <c r="F304" s="51">
        <v>0</v>
      </c>
      <c r="G304" s="51">
        <f>ROUND(((+$B$304*$B$58)+$B$304)/6,-3)</f>
        <v>193000</v>
      </c>
      <c r="H304" s="51">
        <v>0</v>
      </c>
      <c r="I304" s="51">
        <f>ROUND(((+$B$304*$B$58)+$B$304)/6,-3)</f>
        <v>193000</v>
      </c>
      <c r="J304" s="51">
        <v>0</v>
      </c>
      <c r="K304" s="51">
        <f>ROUND(((+$B$304*$B$58)+$B$304)/6,-3)</f>
        <v>193000</v>
      </c>
      <c r="L304" s="51">
        <v>0</v>
      </c>
      <c r="M304" s="51">
        <f>ROUND(((+$B$304*$B$58)+$B$304)/6,-3)</f>
        <v>193000</v>
      </c>
      <c r="N304" s="51">
        <v>0</v>
      </c>
      <c r="O304" s="259">
        <f t="shared" si="189"/>
        <v>1158000</v>
      </c>
      <c r="P304" s="50">
        <f t="shared" si="187"/>
        <v>0.07222222222222222</v>
      </c>
    </row>
    <row r="305" spans="1:16" ht="15">
      <c r="A305" s="163" t="s">
        <v>529</v>
      </c>
      <c r="B305" s="258">
        <v>0</v>
      </c>
      <c r="C305" s="51"/>
      <c r="D305" s="51"/>
      <c r="E305" s="51"/>
      <c r="F305" s="51"/>
      <c r="G305" s="51"/>
      <c r="H305" s="51"/>
      <c r="I305" s="51"/>
      <c r="J305" s="51"/>
      <c r="K305" s="51">
        <f>ROUND(((+$B$305*$B$58)+$B$305),-3)</f>
        <v>0</v>
      </c>
      <c r="L305" s="51"/>
      <c r="M305" s="51">
        <v>900000</v>
      </c>
      <c r="N305" s="51"/>
      <c r="O305" s="259">
        <f t="shared" si="189"/>
        <v>900000</v>
      </c>
      <c r="P305" s="50">
        <v>1</v>
      </c>
    </row>
    <row r="306" spans="1:16" ht="15">
      <c r="A306" s="163" t="s">
        <v>528</v>
      </c>
      <c r="B306" s="258">
        <f>280000+120000+140000+100000+180000+180000+80000+510000+562400+270000+210000+353600+500000+275000+150000</f>
        <v>3911000</v>
      </c>
      <c r="C306" s="51">
        <f>ROUND(((+$B$306*$B$58)+$B$306)/12,-3)</f>
        <v>349000</v>
      </c>
      <c r="D306" s="51">
        <f aca="true" t="shared" si="202" ref="D306:N306">ROUND(((+$B$306*$B$58)+$B$306)/12,-3)</f>
        <v>349000</v>
      </c>
      <c r="E306" s="51">
        <f t="shared" si="202"/>
        <v>349000</v>
      </c>
      <c r="F306" s="51">
        <f t="shared" si="202"/>
        <v>349000</v>
      </c>
      <c r="G306" s="51">
        <f t="shared" si="202"/>
        <v>349000</v>
      </c>
      <c r="H306" s="51">
        <f t="shared" si="202"/>
        <v>349000</v>
      </c>
      <c r="I306" s="51">
        <f t="shared" si="202"/>
        <v>349000</v>
      </c>
      <c r="J306" s="51">
        <f t="shared" si="202"/>
        <v>349000</v>
      </c>
      <c r="K306" s="51">
        <f t="shared" si="202"/>
        <v>349000</v>
      </c>
      <c r="L306" s="51">
        <f t="shared" si="202"/>
        <v>349000</v>
      </c>
      <c r="M306" s="51">
        <f t="shared" si="202"/>
        <v>349000</v>
      </c>
      <c r="N306" s="51">
        <f t="shared" si="202"/>
        <v>349000</v>
      </c>
      <c r="O306" s="259">
        <f t="shared" si="189"/>
        <v>4188000</v>
      </c>
      <c r="P306" s="50">
        <f t="shared" si="187"/>
        <v>0.07082587573510611</v>
      </c>
    </row>
    <row r="307" spans="1:16" ht="15">
      <c r="A307" s="361" t="s">
        <v>526</v>
      </c>
      <c r="B307" s="258">
        <v>180000</v>
      </c>
      <c r="C307" s="51"/>
      <c r="D307" s="51"/>
      <c r="E307" s="51">
        <f>ROUND(((+$B$307*$B$58)+$B$307)/2,-3)</f>
        <v>96000</v>
      </c>
      <c r="F307" s="51"/>
      <c r="G307" s="51"/>
      <c r="H307" s="73">
        <v>0</v>
      </c>
      <c r="I307" s="51"/>
      <c r="J307" s="73">
        <v>0</v>
      </c>
      <c r="K307" s="73">
        <v>0</v>
      </c>
      <c r="L307" s="51">
        <f>ROUND(((+$B$307*$B$58)+$B$307)/2,-3)</f>
        <v>96000</v>
      </c>
      <c r="M307" s="73">
        <v>0</v>
      </c>
      <c r="N307" s="51"/>
      <c r="O307" s="259">
        <f t="shared" si="189"/>
        <v>192000</v>
      </c>
      <c r="P307" s="50">
        <f t="shared" si="187"/>
        <v>0.06666666666666667</v>
      </c>
    </row>
    <row r="308" spans="1:16" ht="15">
      <c r="A308" s="361" t="s">
        <v>527</v>
      </c>
      <c r="B308" s="258">
        <f>1130000+1280000+1390000+1287400+1070000+1310000+1205000+360000+80000+1604000+800000+200000</f>
        <v>11716400</v>
      </c>
      <c r="C308" s="51">
        <v>1045000</v>
      </c>
      <c r="D308" s="51">
        <v>1045000</v>
      </c>
      <c r="E308" s="51">
        <v>1045000</v>
      </c>
      <c r="F308" s="51">
        <v>1045000</v>
      </c>
      <c r="G308" s="51">
        <v>1045000</v>
      </c>
      <c r="H308" s="51">
        <v>1045000</v>
      </c>
      <c r="I308" s="51">
        <v>1045000</v>
      </c>
      <c r="J308" s="51">
        <v>1045000</v>
      </c>
      <c r="K308" s="51">
        <v>1045000</v>
      </c>
      <c r="L308" s="51">
        <v>1045000</v>
      </c>
      <c r="M308" s="51">
        <v>1045000</v>
      </c>
      <c r="N308" s="51">
        <v>1045000</v>
      </c>
      <c r="O308" s="259">
        <f t="shared" si="189"/>
        <v>12540000</v>
      </c>
      <c r="P308" s="50">
        <f t="shared" si="187"/>
        <v>0.07029462974975248</v>
      </c>
    </row>
    <row r="309" spans="1:16" ht="15">
      <c r="A309" s="163" t="s">
        <v>525</v>
      </c>
      <c r="B309" s="258">
        <v>6420000</v>
      </c>
      <c r="C309" s="51"/>
      <c r="D309" s="51"/>
      <c r="E309" s="51"/>
      <c r="F309" s="51"/>
      <c r="G309" s="51"/>
      <c r="H309" s="51"/>
      <c r="I309" s="51"/>
      <c r="J309" s="51">
        <f>ROUND(((+$B$309*$B$58)+$B$309),-3)</f>
        <v>6869000</v>
      </c>
      <c r="K309" s="51"/>
      <c r="L309" s="51"/>
      <c r="M309" s="51"/>
      <c r="N309" s="51"/>
      <c r="O309" s="363">
        <f t="shared" si="189"/>
        <v>6869000</v>
      </c>
      <c r="P309" s="50">
        <f t="shared" si="187"/>
        <v>0.06993769470404984</v>
      </c>
    </row>
    <row r="310" spans="1:16" ht="15">
      <c r="A310" s="361" t="s">
        <v>640</v>
      </c>
      <c r="B310" s="258">
        <v>1150000</v>
      </c>
      <c r="C310" s="73">
        <v>85000</v>
      </c>
      <c r="D310" s="73">
        <f>85000+100000</f>
        <v>185000</v>
      </c>
      <c r="E310" s="73">
        <v>85000</v>
      </c>
      <c r="F310" s="73">
        <v>85000</v>
      </c>
      <c r="G310" s="73">
        <v>85000</v>
      </c>
      <c r="H310" s="73">
        <v>85000</v>
      </c>
      <c r="I310" s="73">
        <v>85000</v>
      </c>
      <c r="J310" s="73">
        <f>85000+100000</f>
        <v>185000</v>
      </c>
      <c r="K310" s="73">
        <v>85000</v>
      </c>
      <c r="L310" s="73">
        <v>85000</v>
      </c>
      <c r="M310" s="73">
        <v>85000</v>
      </c>
      <c r="N310" s="73">
        <v>85000</v>
      </c>
      <c r="O310" s="259">
        <f t="shared" si="189"/>
        <v>1220000</v>
      </c>
      <c r="P310" s="50">
        <f t="shared" si="187"/>
        <v>0.06086956521739131</v>
      </c>
    </row>
    <row r="311" spans="1:16" ht="15">
      <c r="A311" s="163" t="s">
        <v>300</v>
      </c>
      <c r="B311" s="258">
        <v>240000</v>
      </c>
      <c r="C311" s="73">
        <v>240000</v>
      </c>
      <c r="D311" s="73">
        <v>0</v>
      </c>
      <c r="E311" s="73">
        <v>0</v>
      </c>
      <c r="F311" s="73">
        <v>0</v>
      </c>
      <c r="G311" s="73">
        <v>0</v>
      </c>
      <c r="H311" s="73">
        <v>0</v>
      </c>
      <c r="I311" s="73">
        <v>0</v>
      </c>
      <c r="J311" s="73">
        <v>0</v>
      </c>
      <c r="K311" s="51">
        <v>0</v>
      </c>
      <c r="L311" s="73">
        <v>0</v>
      </c>
      <c r="M311" s="73">
        <v>200000</v>
      </c>
      <c r="N311" s="73">
        <v>0</v>
      </c>
      <c r="O311" s="259">
        <f t="shared" si="189"/>
        <v>440000</v>
      </c>
      <c r="P311" s="50">
        <f t="shared" si="187"/>
        <v>0.8333333333333334</v>
      </c>
    </row>
    <row r="312" spans="1:16" ht="15">
      <c r="A312" s="163" t="s">
        <v>641</v>
      </c>
      <c r="B312" s="258">
        <f>200000+60000+120000+73000+140000+200000</f>
        <v>793000</v>
      </c>
      <c r="C312" s="73"/>
      <c r="D312" s="51">
        <f>ROUND(((+$B$312*$B$58)+$B$312)/6,-3)</f>
        <v>141000</v>
      </c>
      <c r="E312" s="73"/>
      <c r="F312" s="51">
        <f>ROUND(((+$B$312*$B$58)+$B$312)/6,-3)</f>
        <v>141000</v>
      </c>
      <c r="G312" s="73">
        <v>0</v>
      </c>
      <c r="H312" s="51">
        <f>ROUND(((+$B$312*$B$58)+$B$312)/6,-3)</f>
        <v>141000</v>
      </c>
      <c r="I312" s="73">
        <v>0</v>
      </c>
      <c r="J312" s="51">
        <f>ROUND(((+$B$312*$B$58)+$B$312)/6,-3)</f>
        <v>141000</v>
      </c>
      <c r="K312" s="73">
        <v>0</v>
      </c>
      <c r="L312" s="51">
        <f>ROUND(((+$B$312*$B$58)+$B$312)/6,-3)</f>
        <v>141000</v>
      </c>
      <c r="M312" s="73">
        <v>0</v>
      </c>
      <c r="N312" s="51">
        <f>ROUND(((+$B$312*$B$58)+$B$312)/6,-3)</f>
        <v>141000</v>
      </c>
      <c r="O312" s="259">
        <f t="shared" si="189"/>
        <v>846000</v>
      </c>
      <c r="P312" s="50">
        <f t="shared" si="187"/>
        <v>0.06683480453972257</v>
      </c>
    </row>
    <row r="313" spans="1:16" ht="15">
      <c r="A313" s="163" t="s">
        <v>665</v>
      </c>
      <c r="B313" s="258">
        <v>0</v>
      </c>
      <c r="C313" s="73">
        <v>50000</v>
      </c>
      <c r="D313" s="51"/>
      <c r="E313" s="73">
        <v>50000</v>
      </c>
      <c r="F313" s="51"/>
      <c r="G313" s="73">
        <v>50000</v>
      </c>
      <c r="H313" s="51"/>
      <c r="I313" s="73">
        <v>50000</v>
      </c>
      <c r="J313" s="51"/>
      <c r="K313" s="73">
        <v>50000</v>
      </c>
      <c r="L313" s="51"/>
      <c r="M313" s="73">
        <v>50000</v>
      </c>
      <c r="N313" s="51"/>
      <c r="O313" s="259">
        <f t="shared" si="189"/>
        <v>300000</v>
      </c>
      <c r="P313" s="50">
        <v>1</v>
      </c>
    </row>
    <row r="314" spans="1:16" ht="15">
      <c r="A314" s="163" t="s">
        <v>703</v>
      </c>
      <c r="B314" s="258">
        <v>0</v>
      </c>
      <c r="C314" s="73">
        <v>100000</v>
      </c>
      <c r="D314" s="73">
        <v>100000</v>
      </c>
      <c r="E314" s="73">
        <v>100000</v>
      </c>
      <c r="F314" s="73">
        <v>100000</v>
      </c>
      <c r="G314" s="73">
        <v>100000</v>
      </c>
      <c r="H314" s="73">
        <v>100000</v>
      </c>
      <c r="I314" s="73">
        <v>100000</v>
      </c>
      <c r="J314" s="73">
        <v>100000</v>
      </c>
      <c r="K314" s="73">
        <v>100000</v>
      </c>
      <c r="L314" s="73">
        <v>100000</v>
      </c>
      <c r="M314" s="73">
        <v>100000</v>
      </c>
      <c r="N314" s="73">
        <v>100000</v>
      </c>
      <c r="O314" s="259">
        <f t="shared" si="189"/>
        <v>1200000</v>
      </c>
      <c r="P314" s="50">
        <v>1</v>
      </c>
    </row>
    <row r="315" spans="1:16" ht="15">
      <c r="A315" s="163" t="s">
        <v>642</v>
      </c>
      <c r="B315" s="258">
        <v>600000</v>
      </c>
      <c r="C315" s="73"/>
      <c r="D315" s="51">
        <f>ROUND(((+$B$315*$B$58)+$B$315)/3,-3)</f>
        <v>214000</v>
      </c>
      <c r="E315" s="73"/>
      <c r="F315" s="51"/>
      <c r="G315" s="73"/>
      <c r="H315" s="51">
        <f>ROUND(((+$B$315*$B$58)+$B$315)/3,-3)</f>
        <v>214000</v>
      </c>
      <c r="I315" s="73"/>
      <c r="J315" s="51"/>
      <c r="K315" s="73"/>
      <c r="L315" s="51">
        <f>ROUND(((+$B$315*$B$58)+$B$315)/3,-3)</f>
        <v>214000</v>
      </c>
      <c r="M315" s="73"/>
      <c r="N315" s="51"/>
      <c r="O315" s="259">
        <f aca="true" t="shared" si="203" ref="O315">SUM(C315:N315)</f>
        <v>642000</v>
      </c>
      <c r="P315" s="50">
        <f aca="true" t="shared" si="204" ref="P315">+(O315-B315)/B315</f>
        <v>0.07</v>
      </c>
    </row>
    <row r="316" spans="1:16" ht="15">
      <c r="A316" s="163" t="s">
        <v>564</v>
      </c>
      <c r="B316" s="258">
        <v>50000</v>
      </c>
      <c r="C316" s="73"/>
      <c r="D316" s="73"/>
      <c r="E316" s="73"/>
      <c r="F316" s="73"/>
      <c r="G316" s="51">
        <f aca="true" t="shared" si="205" ref="G316:N316">ROUND(((+$B$297*$B$58)+$B$297)/8,-3)+21000</f>
        <v>67000</v>
      </c>
      <c r="H316" s="51">
        <f t="shared" si="205"/>
        <v>67000</v>
      </c>
      <c r="I316" s="51">
        <f t="shared" si="205"/>
        <v>67000</v>
      </c>
      <c r="J316" s="51">
        <f t="shared" si="205"/>
        <v>67000</v>
      </c>
      <c r="K316" s="51">
        <f t="shared" si="205"/>
        <v>67000</v>
      </c>
      <c r="L316" s="51">
        <f t="shared" si="205"/>
        <v>67000</v>
      </c>
      <c r="M316" s="51">
        <f t="shared" si="205"/>
        <v>67000</v>
      </c>
      <c r="N316" s="51">
        <f t="shared" si="205"/>
        <v>67000</v>
      </c>
      <c r="O316" s="259">
        <f t="shared" si="189"/>
        <v>536000</v>
      </c>
      <c r="P316" s="50">
        <v>1</v>
      </c>
    </row>
    <row r="317" spans="1:16" ht="15">
      <c r="A317" s="291" t="s">
        <v>299</v>
      </c>
      <c r="B317" s="258">
        <v>0</v>
      </c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>
        <v>0</v>
      </c>
      <c r="O317" s="259">
        <f t="shared" si="189"/>
        <v>0</v>
      </c>
      <c r="P317" s="50">
        <v>1</v>
      </c>
    </row>
    <row r="318" spans="1:16" s="31" customFormat="1" ht="15">
      <c r="A318" s="29" t="s">
        <v>62</v>
      </c>
      <c r="B318" s="260">
        <f aca="true" t="shared" si="206" ref="B318:N318">SUM(B319:B323)</f>
        <v>145945103</v>
      </c>
      <c r="C318" s="30">
        <f>SUM(C319:C323)</f>
        <v>13353000</v>
      </c>
      <c r="D318" s="30">
        <f t="shared" si="206"/>
        <v>13353000</v>
      </c>
      <c r="E318" s="30">
        <f t="shared" si="206"/>
        <v>13353000</v>
      </c>
      <c r="F318" s="30">
        <f t="shared" si="206"/>
        <v>13353000</v>
      </c>
      <c r="G318" s="30">
        <f t="shared" si="206"/>
        <v>13353000</v>
      </c>
      <c r="H318" s="30">
        <f t="shared" si="206"/>
        <v>13353000</v>
      </c>
      <c r="I318" s="30">
        <f t="shared" si="206"/>
        <v>13353000</v>
      </c>
      <c r="J318" s="30">
        <f t="shared" si="206"/>
        <v>13353000</v>
      </c>
      <c r="K318" s="30">
        <f t="shared" si="206"/>
        <v>13353000</v>
      </c>
      <c r="L318" s="30">
        <f t="shared" si="206"/>
        <v>13353000</v>
      </c>
      <c r="M318" s="30">
        <f t="shared" si="206"/>
        <v>13353000</v>
      </c>
      <c r="N318" s="30">
        <f t="shared" si="206"/>
        <v>13353000</v>
      </c>
      <c r="O318" s="260">
        <f>SUM(O319:O323)</f>
        <v>160236000</v>
      </c>
      <c r="P318" s="50">
        <f aca="true" t="shared" si="207" ref="P318:P323">+(O318-B318)/B318</f>
        <v>0.09791967463272817</v>
      </c>
    </row>
    <row r="319" spans="1:16" ht="15">
      <c r="A319" s="163" t="s">
        <v>69</v>
      </c>
      <c r="B319" s="258">
        <v>89708646</v>
      </c>
      <c r="C319" s="51">
        <v>8333000</v>
      </c>
      <c r="D319" s="51">
        <v>8333000</v>
      </c>
      <c r="E319" s="51">
        <v>8333000</v>
      </c>
      <c r="F319" s="51">
        <v>8333000</v>
      </c>
      <c r="G319" s="51">
        <v>8333000</v>
      </c>
      <c r="H319" s="51">
        <v>8333000</v>
      </c>
      <c r="I319" s="51">
        <v>8333000</v>
      </c>
      <c r="J319" s="51">
        <v>8333000</v>
      </c>
      <c r="K319" s="51">
        <v>8333000</v>
      </c>
      <c r="L319" s="51">
        <v>8333000</v>
      </c>
      <c r="M319" s="51">
        <v>8333000</v>
      </c>
      <c r="N319" s="51">
        <v>8333000</v>
      </c>
      <c r="O319" s="259">
        <f aca="true" t="shared" si="208" ref="O319:O323">SUM(C319:N319)</f>
        <v>99996000</v>
      </c>
      <c r="P319" s="50">
        <f t="shared" si="207"/>
        <v>0.11467516743035003</v>
      </c>
    </row>
    <row r="320" spans="1:16" ht="15">
      <c r="A320" s="163" t="s">
        <v>255</v>
      </c>
      <c r="B320" s="258">
        <v>5936460</v>
      </c>
      <c r="C320" s="51">
        <v>530000</v>
      </c>
      <c r="D320" s="51">
        <v>530000</v>
      </c>
      <c r="E320" s="51">
        <v>530000</v>
      </c>
      <c r="F320" s="51">
        <v>530000</v>
      </c>
      <c r="G320" s="51">
        <v>530000</v>
      </c>
      <c r="H320" s="51">
        <v>530000</v>
      </c>
      <c r="I320" s="51">
        <v>530000</v>
      </c>
      <c r="J320" s="51">
        <v>530000</v>
      </c>
      <c r="K320" s="51">
        <v>530000</v>
      </c>
      <c r="L320" s="51">
        <v>530000</v>
      </c>
      <c r="M320" s="51">
        <v>530000</v>
      </c>
      <c r="N320" s="51">
        <v>530000</v>
      </c>
      <c r="O320" s="259">
        <f t="shared" si="208"/>
        <v>6360000</v>
      </c>
      <c r="P320" s="50">
        <f t="shared" si="207"/>
        <v>0.07134554936780506</v>
      </c>
    </row>
    <row r="321" spans="1:16" ht="15">
      <c r="A321" s="163" t="s">
        <v>57</v>
      </c>
      <c r="B321" s="258">
        <v>8418611</v>
      </c>
      <c r="C321" s="51">
        <v>750000</v>
      </c>
      <c r="D321" s="51">
        <v>750000</v>
      </c>
      <c r="E321" s="51">
        <v>750000</v>
      </c>
      <c r="F321" s="51">
        <v>750000</v>
      </c>
      <c r="G321" s="51">
        <v>750000</v>
      </c>
      <c r="H321" s="51">
        <v>750000</v>
      </c>
      <c r="I321" s="51">
        <v>750000</v>
      </c>
      <c r="J321" s="51">
        <v>750000</v>
      </c>
      <c r="K321" s="51">
        <v>750000</v>
      </c>
      <c r="L321" s="51">
        <v>750000</v>
      </c>
      <c r="M321" s="51">
        <v>750000</v>
      </c>
      <c r="N321" s="51">
        <v>750000</v>
      </c>
      <c r="O321" s="259">
        <f t="shared" si="208"/>
        <v>9000000</v>
      </c>
      <c r="P321" s="50">
        <f t="shared" si="207"/>
        <v>0.06905996725588105</v>
      </c>
    </row>
    <row r="322" spans="1:16" ht="15">
      <c r="A322" s="163" t="s">
        <v>432</v>
      </c>
      <c r="B322" s="258">
        <v>22064584</v>
      </c>
      <c r="C322" s="51">
        <v>1970000</v>
      </c>
      <c r="D322" s="51">
        <v>1970000</v>
      </c>
      <c r="E322" s="51">
        <v>1970000</v>
      </c>
      <c r="F322" s="51">
        <v>1970000</v>
      </c>
      <c r="G322" s="51">
        <v>1970000</v>
      </c>
      <c r="H322" s="51">
        <v>1970000</v>
      </c>
      <c r="I322" s="51">
        <v>1970000</v>
      </c>
      <c r="J322" s="51">
        <v>1970000</v>
      </c>
      <c r="K322" s="51">
        <v>1970000</v>
      </c>
      <c r="L322" s="51">
        <v>1970000</v>
      </c>
      <c r="M322" s="51">
        <v>1970000</v>
      </c>
      <c r="N322" s="51">
        <v>1970000</v>
      </c>
      <c r="O322" s="259">
        <f t="shared" si="208"/>
        <v>23640000</v>
      </c>
      <c r="P322" s="50">
        <f t="shared" si="207"/>
        <v>0.07140021311981228</v>
      </c>
    </row>
    <row r="323" spans="1:16" ht="15">
      <c r="A323" s="163" t="s">
        <v>70</v>
      </c>
      <c r="B323" s="258">
        <v>19816802</v>
      </c>
      <c r="C323" s="51">
        <v>1770000</v>
      </c>
      <c r="D323" s="51">
        <v>1770000</v>
      </c>
      <c r="E323" s="51">
        <v>1770000</v>
      </c>
      <c r="F323" s="51">
        <v>1770000</v>
      </c>
      <c r="G323" s="51">
        <v>1770000</v>
      </c>
      <c r="H323" s="51">
        <v>1770000</v>
      </c>
      <c r="I323" s="51">
        <v>1770000</v>
      </c>
      <c r="J323" s="51">
        <v>1770000</v>
      </c>
      <c r="K323" s="51">
        <v>1770000</v>
      </c>
      <c r="L323" s="51">
        <v>1770000</v>
      </c>
      <c r="M323" s="51">
        <v>1770000</v>
      </c>
      <c r="N323" s="51">
        <v>1770000</v>
      </c>
      <c r="O323" s="259">
        <f t="shared" si="208"/>
        <v>21240000</v>
      </c>
      <c r="P323" s="50">
        <f t="shared" si="207"/>
        <v>0.07181774334728681</v>
      </c>
    </row>
    <row r="324" spans="1:16" s="31" customFormat="1" ht="15">
      <c r="A324" s="29" t="s">
        <v>71</v>
      </c>
      <c r="B324" s="260">
        <f aca="true" t="shared" si="209" ref="B324:O324">+B325+B330</f>
        <v>9407030</v>
      </c>
      <c r="C324" s="30">
        <f t="shared" si="209"/>
        <v>1124000</v>
      </c>
      <c r="D324" s="30">
        <f t="shared" si="209"/>
        <v>0</v>
      </c>
      <c r="E324" s="30">
        <f t="shared" si="209"/>
        <v>670000</v>
      </c>
      <c r="F324" s="30">
        <f t="shared" si="209"/>
        <v>0</v>
      </c>
      <c r="G324" s="30">
        <f t="shared" si="209"/>
        <v>375000</v>
      </c>
      <c r="H324" s="30">
        <f t="shared" si="209"/>
        <v>269000</v>
      </c>
      <c r="I324" s="30">
        <f t="shared" si="209"/>
        <v>7338000</v>
      </c>
      <c r="J324" s="30">
        <f t="shared" si="209"/>
        <v>0</v>
      </c>
      <c r="K324" s="30">
        <f t="shared" si="209"/>
        <v>375000</v>
      </c>
      <c r="L324" s="30">
        <f t="shared" si="209"/>
        <v>0</v>
      </c>
      <c r="M324" s="30">
        <f t="shared" si="209"/>
        <v>375000</v>
      </c>
      <c r="N324" s="30">
        <f t="shared" si="209"/>
        <v>0</v>
      </c>
      <c r="O324" s="260">
        <f t="shared" si="209"/>
        <v>10526000</v>
      </c>
      <c r="P324" s="50">
        <f aca="true" t="shared" si="210" ref="P324:P329">+(O324-B324)/B324</f>
        <v>0.11895040198659938</v>
      </c>
    </row>
    <row r="325" spans="1:16" ht="15">
      <c r="A325" s="163" t="s">
        <v>72</v>
      </c>
      <c r="B325" s="260">
        <f aca="true" t="shared" si="211" ref="B325:O325">SUM(B326:B329)</f>
        <v>3605457</v>
      </c>
      <c r="C325" s="51">
        <f t="shared" si="211"/>
        <v>1124000</v>
      </c>
      <c r="D325" s="51">
        <f t="shared" si="211"/>
        <v>0</v>
      </c>
      <c r="E325" s="51">
        <f t="shared" si="211"/>
        <v>670000</v>
      </c>
      <c r="F325" s="51">
        <f t="shared" si="211"/>
        <v>0</v>
      </c>
      <c r="G325" s="51">
        <f t="shared" si="211"/>
        <v>375000</v>
      </c>
      <c r="H325" s="51">
        <f t="shared" si="211"/>
        <v>269000</v>
      </c>
      <c r="I325" s="51">
        <f t="shared" si="211"/>
        <v>670000</v>
      </c>
      <c r="J325" s="51">
        <f t="shared" si="211"/>
        <v>0</v>
      </c>
      <c r="K325" s="51">
        <f t="shared" si="211"/>
        <v>375000</v>
      </c>
      <c r="L325" s="51">
        <f t="shared" si="211"/>
        <v>0</v>
      </c>
      <c r="M325" s="51">
        <f t="shared" si="211"/>
        <v>375000</v>
      </c>
      <c r="N325" s="51">
        <f t="shared" si="211"/>
        <v>0</v>
      </c>
      <c r="O325" s="260">
        <f t="shared" si="211"/>
        <v>3858000</v>
      </c>
      <c r="P325" s="50">
        <f t="shared" si="210"/>
        <v>0.07004465730696552</v>
      </c>
    </row>
    <row r="326" spans="1:16" ht="15">
      <c r="A326" s="163" t="s">
        <v>433</v>
      </c>
      <c r="B326" s="258">
        <f>256000-4383</f>
        <v>251617</v>
      </c>
      <c r="C326" s="51"/>
      <c r="D326" s="51"/>
      <c r="E326" s="51"/>
      <c r="F326" s="51"/>
      <c r="G326" s="51"/>
      <c r="H326" s="51">
        <f>ROUND(((+$B$326*$B$58)+$B$326),-3)</f>
        <v>269000</v>
      </c>
      <c r="I326" s="51"/>
      <c r="J326" s="51"/>
      <c r="K326" s="51"/>
      <c r="L326" s="51"/>
      <c r="M326" s="51"/>
      <c r="N326" s="51"/>
      <c r="O326" s="259">
        <f aca="true" t="shared" si="212" ref="O326:O332">SUM(C326:N326)</f>
        <v>269000</v>
      </c>
      <c r="P326" s="50">
        <f t="shared" si="210"/>
        <v>0.06908515720320964</v>
      </c>
    </row>
    <row r="327" spans="1:16" ht="15">
      <c r="A327" s="163" t="s">
        <v>643</v>
      </c>
      <c r="B327" s="258">
        <v>2101840</v>
      </c>
      <c r="C327" s="51">
        <f>ROUND(((+$B$327*$B$58)+$B$327)/6,-3)</f>
        <v>375000</v>
      </c>
      <c r="D327" s="51"/>
      <c r="E327" s="51">
        <f>ROUND(((+$B$327*$B$58)+$B$327)/6,-3)</f>
        <v>375000</v>
      </c>
      <c r="F327" s="51"/>
      <c r="G327" s="51">
        <f>ROUND(((+$B$327*$B$58)+$B$327)/6,-3)</f>
        <v>375000</v>
      </c>
      <c r="H327" s="51"/>
      <c r="I327" s="51">
        <f>ROUND(((+$B$327*$B$58)+$B$327)/6,-3)</f>
        <v>375000</v>
      </c>
      <c r="J327" s="51"/>
      <c r="K327" s="51">
        <f>ROUND(((+$B$327*$B$58)+$B$327)/6,-3)</f>
        <v>375000</v>
      </c>
      <c r="L327" s="51"/>
      <c r="M327" s="51">
        <f>ROUND(((+$B$327*$B$58)+$B$327)/6,-3)</f>
        <v>375000</v>
      </c>
      <c r="N327" s="51"/>
      <c r="O327" s="259">
        <f aca="true" t="shared" si="213" ref="O327">SUM(C327:N327)</f>
        <v>2250000</v>
      </c>
      <c r="P327" s="50">
        <f aca="true" t="shared" si="214" ref="P327">+(O327-B327)/B327</f>
        <v>0.07049061774445248</v>
      </c>
    </row>
    <row r="328" spans="1:16" ht="15">
      <c r="A328" s="163" t="s">
        <v>128</v>
      </c>
      <c r="B328" s="258">
        <v>700000</v>
      </c>
      <c r="C328" s="51">
        <f>ROUND(((+$B$328*$B$58)+$B$328),-3)</f>
        <v>749000</v>
      </c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259">
        <f t="shared" si="212"/>
        <v>749000</v>
      </c>
      <c r="P328" s="50">
        <f t="shared" si="210"/>
        <v>0.07</v>
      </c>
    </row>
    <row r="329" spans="1:16" ht="15">
      <c r="A329" s="163" t="s">
        <v>126</v>
      </c>
      <c r="B329" s="258">
        <v>552000</v>
      </c>
      <c r="C329" s="51"/>
      <c r="D329" s="51"/>
      <c r="E329" s="51">
        <f>ROUND(((+$B$329*$B$58)+$B$329)/2,-3)</f>
        <v>295000</v>
      </c>
      <c r="F329" s="51"/>
      <c r="G329" s="51"/>
      <c r="H329" s="51">
        <f aca="true" t="shared" si="215" ref="H329">+G329</f>
        <v>0</v>
      </c>
      <c r="I329" s="51">
        <f>ROUND(((+$B$329*$B$58)+$B$329)/2,-3)</f>
        <v>295000</v>
      </c>
      <c r="J329" s="51"/>
      <c r="K329" s="51">
        <f aca="true" t="shared" si="216" ref="K329">+J329</f>
        <v>0</v>
      </c>
      <c r="L329" s="51">
        <f aca="true" t="shared" si="217" ref="L329">+K329</f>
        <v>0</v>
      </c>
      <c r="M329" s="51">
        <f aca="true" t="shared" si="218" ref="M329">+L329</f>
        <v>0</v>
      </c>
      <c r="N329" s="51">
        <f aca="true" t="shared" si="219" ref="N329">+M329</f>
        <v>0</v>
      </c>
      <c r="O329" s="259">
        <f t="shared" si="212"/>
        <v>590000</v>
      </c>
      <c r="P329" s="50">
        <f t="shared" si="210"/>
        <v>0.06884057971014493</v>
      </c>
    </row>
    <row r="330" spans="1:16" ht="15">
      <c r="A330" s="163" t="s">
        <v>73</v>
      </c>
      <c r="B330" s="260">
        <f aca="true" t="shared" si="220" ref="B330:O330">SUM(B331:B332)</f>
        <v>5801573</v>
      </c>
      <c r="C330" s="51">
        <f>SUM(C331:C332)</f>
        <v>0</v>
      </c>
      <c r="D330" s="51">
        <f t="shared" si="220"/>
        <v>0</v>
      </c>
      <c r="E330" s="51">
        <f t="shared" si="220"/>
        <v>0</v>
      </c>
      <c r="F330" s="51">
        <f t="shared" si="220"/>
        <v>0</v>
      </c>
      <c r="G330" s="51">
        <f t="shared" si="220"/>
        <v>0</v>
      </c>
      <c r="H330" s="51">
        <f t="shared" si="220"/>
        <v>0</v>
      </c>
      <c r="I330" s="51">
        <f t="shared" si="220"/>
        <v>6668000</v>
      </c>
      <c r="J330" s="51">
        <f t="shared" si="220"/>
        <v>0</v>
      </c>
      <c r="K330" s="51">
        <f t="shared" si="220"/>
        <v>0</v>
      </c>
      <c r="L330" s="51">
        <f t="shared" si="220"/>
        <v>0</v>
      </c>
      <c r="M330" s="51">
        <f t="shared" si="220"/>
        <v>0</v>
      </c>
      <c r="N330" s="51">
        <f t="shared" si="220"/>
        <v>0</v>
      </c>
      <c r="O330" s="260">
        <f t="shared" si="220"/>
        <v>6668000</v>
      </c>
      <c r="P330" s="50">
        <f aca="true" t="shared" si="221" ref="P330:P348">+(O330-B330)/B330</f>
        <v>0.14934346254024555</v>
      </c>
    </row>
    <row r="331" spans="1:16" ht="15">
      <c r="A331" s="163" t="s">
        <v>74</v>
      </c>
      <c r="B331" s="258">
        <v>2693823</v>
      </c>
      <c r="C331" s="51"/>
      <c r="D331" s="51"/>
      <c r="E331" s="51"/>
      <c r="F331" s="51"/>
      <c r="G331" s="51"/>
      <c r="H331" s="51"/>
      <c r="I331" s="51">
        <v>3343000</v>
      </c>
      <c r="J331" s="51"/>
      <c r="K331" s="51"/>
      <c r="L331" s="51"/>
      <c r="M331" s="51"/>
      <c r="N331" s="51"/>
      <c r="O331" s="259">
        <f t="shared" si="212"/>
        <v>3343000</v>
      </c>
      <c r="P331" s="50">
        <f t="shared" si="221"/>
        <v>0.24098725120395809</v>
      </c>
    </row>
    <row r="332" spans="1:16" ht="15">
      <c r="A332" s="295" t="s">
        <v>305</v>
      </c>
      <c r="B332" s="258">
        <v>3107750</v>
      </c>
      <c r="C332" s="77">
        <v>0</v>
      </c>
      <c r="D332" s="76">
        <v>0</v>
      </c>
      <c r="E332" s="76">
        <v>0</v>
      </c>
      <c r="F332" s="76">
        <v>0</v>
      </c>
      <c r="G332" s="76">
        <v>0</v>
      </c>
      <c r="H332" s="76">
        <v>0</v>
      </c>
      <c r="I332" s="51">
        <f>ROUND(((+$B$332*$B$58)+$B$332)/1,-3)</f>
        <v>3325000</v>
      </c>
      <c r="J332" s="76">
        <v>0</v>
      </c>
      <c r="K332" s="76">
        <v>0</v>
      </c>
      <c r="L332" s="76">
        <v>0</v>
      </c>
      <c r="M332" s="76">
        <v>0</v>
      </c>
      <c r="N332" s="76">
        <v>0</v>
      </c>
      <c r="O332" s="259">
        <f t="shared" si="212"/>
        <v>3325000</v>
      </c>
      <c r="P332" s="50">
        <f t="shared" si="221"/>
        <v>0.06990588046013997</v>
      </c>
    </row>
    <row r="333" spans="1:16" s="31" customFormat="1" ht="15">
      <c r="A333" s="29" t="s">
        <v>75</v>
      </c>
      <c r="B333" s="260">
        <f aca="true" t="shared" si="222" ref="B333:O333">+B334+B341+B344+B347+B351+B352+B367+B368</f>
        <v>61414928</v>
      </c>
      <c r="C333" s="30">
        <f t="shared" si="222"/>
        <v>8237000</v>
      </c>
      <c r="D333" s="30">
        <f t="shared" si="222"/>
        <v>8038000</v>
      </c>
      <c r="E333" s="30">
        <f t="shared" si="222"/>
        <v>6184000</v>
      </c>
      <c r="F333" s="30">
        <f t="shared" si="222"/>
        <v>5187000</v>
      </c>
      <c r="G333" s="30">
        <f t="shared" si="222"/>
        <v>5096000</v>
      </c>
      <c r="H333" s="30">
        <f t="shared" si="222"/>
        <v>5910000</v>
      </c>
      <c r="I333" s="30">
        <f t="shared" si="222"/>
        <v>5199000</v>
      </c>
      <c r="J333" s="30">
        <f t="shared" si="222"/>
        <v>17158000</v>
      </c>
      <c r="K333" s="30">
        <f t="shared" si="222"/>
        <v>7247000</v>
      </c>
      <c r="L333" s="30">
        <f t="shared" si="222"/>
        <v>6852000</v>
      </c>
      <c r="M333" s="30">
        <f t="shared" si="222"/>
        <v>5376000</v>
      </c>
      <c r="N333" s="30">
        <f t="shared" si="222"/>
        <v>4966000</v>
      </c>
      <c r="O333" s="260">
        <f t="shared" si="222"/>
        <v>85450000</v>
      </c>
      <c r="P333" s="50">
        <f t="shared" si="221"/>
        <v>0.391355534927925</v>
      </c>
    </row>
    <row r="334" spans="1:16" ht="15">
      <c r="A334" s="163" t="s">
        <v>76</v>
      </c>
      <c r="B334" s="260">
        <f aca="true" t="shared" si="223" ref="B334:O334">SUM(B335:B340)</f>
        <v>2118000</v>
      </c>
      <c r="C334" s="51">
        <f t="shared" si="223"/>
        <v>700000</v>
      </c>
      <c r="D334" s="51">
        <f t="shared" si="223"/>
        <v>0</v>
      </c>
      <c r="E334" s="51">
        <f t="shared" si="223"/>
        <v>0</v>
      </c>
      <c r="F334" s="51">
        <f t="shared" si="223"/>
        <v>0</v>
      </c>
      <c r="G334" s="51">
        <f t="shared" si="223"/>
        <v>0</v>
      </c>
      <c r="H334" s="51">
        <f t="shared" si="223"/>
        <v>722000</v>
      </c>
      <c r="I334" s="51">
        <f t="shared" si="223"/>
        <v>0</v>
      </c>
      <c r="J334" s="51">
        <f t="shared" si="223"/>
        <v>0</v>
      </c>
      <c r="K334" s="51">
        <f t="shared" si="223"/>
        <v>546000</v>
      </c>
      <c r="L334" s="51">
        <f t="shared" si="223"/>
        <v>0</v>
      </c>
      <c r="M334" s="51">
        <f t="shared" si="223"/>
        <v>300000</v>
      </c>
      <c r="N334" s="51">
        <f t="shared" si="223"/>
        <v>0</v>
      </c>
      <c r="O334" s="260">
        <f t="shared" si="223"/>
        <v>2268000</v>
      </c>
      <c r="P334" s="50">
        <f t="shared" si="221"/>
        <v>0.0708215297450425</v>
      </c>
    </row>
    <row r="335" spans="1:16" ht="15">
      <c r="A335" s="163" t="s">
        <v>422</v>
      </c>
      <c r="B335" s="258">
        <v>350000</v>
      </c>
      <c r="C335" s="51"/>
      <c r="D335" s="59"/>
      <c r="E335" s="51"/>
      <c r="F335" s="51"/>
      <c r="G335" s="51"/>
      <c r="H335" s="59"/>
      <c r="I335" s="59"/>
      <c r="J335" s="59"/>
      <c r="K335" s="51">
        <f>ROUND(((+$B$335*$B$58)+$B$335),-3)</f>
        <v>375000</v>
      </c>
      <c r="L335" s="59"/>
      <c r="M335" s="59"/>
      <c r="N335" s="59"/>
      <c r="O335" s="259">
        <f aca="true" t="shared" si="224" ref="O335:O376">SUM(C335:N335)</f>
        <v>375000</v>
      </c>
      <c r="P335" s="50">
        <f t="shared" si="221"/>
        <v>0.07142857142857142</v>
      </c>
    </row>
    <row r="336" spans="1:16" ht="15">
      <c r="A336" s="163" t="s">
        <v>514</v>
      </c>
      <c r="B336" s="258">
        <v>654000</v>
      </c>
      <c r="C336" s="51">
        <f>ROUND(((+$B$336*$B$58)+$B$336),-3)</f>
        <v>700000</v>
      </c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259">
        <f t="shared" si="224"/>
        <v>700000</v>
      </c>
      <c r="P336" s="50">
        <f t="shared" si="221"/>
        <v>0.07033639143730887</v>
      </c>
    </row>
    <row r="337" spans="1:16" ht="15">
      <c r="A337" s="163" t="s">
        <v>241</v>
      </c>
      <c r="B337" s="258">
        <v>337000</v>
      </c>
      <c r="C337" s="51"/>
      <c r="D337" s="51"/>
      <c r="E337" s="51"/>
      <c r="F337" s="51"/>
      <c r="G337" s="51"/>
      <c r="H337" s="51">
        <f>ROUND(((+$B$337*$B$58)+$B$337),-3)</f>
        <v>361000</v>
      </c>
      <c r="I337" s="51"/>
      <c r="J337" s="51"/>
      <c r="K337" s="51"/>
      <c r="L337" s="51"/>
      <c r="M337" s="51"/>
      <c r="N337" s="51"/>
      <c r="O337" s="259">
        <f t="shared" si="224"/>
        <v>361000</v>
      </c>
      <c r="P337" s="50">
        <f t="shared" si="221"/>
        <v>0.0712166172106825</v>
      </c>
    </row>
    <row r="338" spans="1:16" ht="15">
      <c r="A338" s="163" t="s">
        <v>242</v>
      </c>
      <c r="B338" s="258">
        <v>337000</v>
      </c>
      <c r="C338" s="51"/>
      <c r="D338" s="51"/>
      <c r="E338" s="51"/>
      <c r="F338" s="51"/>
      <c r="G338" s="51"/>
      <c r="H338" s="51">
        <f>ROUND(((+$B$338*$B$58)+$B$338),-3)</f>
        <v>361000</v>
      </c>
      <c r="I338" s="51"/>
      <c r="J338" s="51"/>
      <c r="K338" s="51"/>
      <c r="L338" s="51"/>
      <c r="M338" s="51"/>
      <c r="N338" s="51"/>
      <c r="O338" s="259">
        <f t="shared" si="224"/>
        <v>361000</v>
      </c>
      <c r="P338" s="50">
        <f t="shared" si="221"/>
        <v>0.0712166172106825</v>
      </c>
    </row>
    <row r="339" spans="1:16" ht="15">
      <c r="A339" s="163" t="s">
        <v>301</v>
      </c>
      <c r="B339" s="258">
        <v>280000</v>
      </c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>
        <f>ROUND(((+$B$339*$B$58)+$B$339),-3)</f>
        <v>300000</v>
      </c>
      <c r="N339" s="51"/>
      <c r="O339" s="259">
        <f t="shared" si="224"/>
        <v>300000</v>
      </c>
      <c r="P339" s="50">
        <f t="shared" si="221"/>
        <v>0.07142857142857142</v>
      </c>
    </row>
    <row r="340" spans="1:16" ht="15">
      <c r="A340" s="163" t="s">
        <v>290</v>
      </c>
      <c r="B340" s="258">
        <v>160000</v>
      </c>
      <c r="C340" s="51">
        <v>0</v>
      </c>
      <c r="D340" s="51"/>
      <c r="E340" s="51"/>
      <c r="F340" s="51"/>
      <c r="G340" s="51"/>
      <c r="H340" s="51"/>
      <c r="I340" s="51"/>
      <c r="J340" s="51"/>
      <c r="K340" s="51">
        <f>ROUND(((+$B$340*$B$58)+$B$340),-3)</f>
        <v>171000</v>
      </c>
      <c r="L340" s="51"/>
      <c r="M340" s="51"/>
      <c r="N340" s="51"/>
      <c r="O340" s="259">
        <f t="shared" si="224"/>
        <v>171000</v>
      </c>
      <c r="P340" s="50">
        <f t="shared" si="221"/>
        <v>0.06875</v>
      </c>
    </row>
    <row r="341" spans="1:16" ht="15">
      <c r="A341" s="163" t="s">
        <v>77</v>
      </c>
      <c r="B341" s="260">
        <f aca="true" t="shared" si="225" ref="B341:O341">SUM(B342:B343)</f>
        <v>7880000</v>
      </c>
      <c r="C341" s="51">
        <f>SUM(C342:C343)</f>
        <v>703000</v>
      </c>
      <c r="D341" s="51">
        <f t="shared" si="225"/>
        <v>703000</v>
      </c>
      <c r="E341" s="51">
        <f t="shared" si="225"/>
        <v>703000</v>
      </c>
      <c r="F341" s="51">
        <f t="shared" si="225"/>
        <v>703000</v>
      </c>
      <c r="G341" s="51">
        <f t="shared" si="225"/>
        <v>703000</v>
      </c>
      <c r="H341" s="51">
        <f t="shared" si="225"/>
        <v>703000</v>
      </c>
      <c r="I341" s="51">
        <f t="shared" si="225"/>
        <v>703000</v>
      </c>
      <c r="J341" s="51">
        <f t="shared" si="225"/>
        <v>703000</v>
      </c>
      <c r="K341" s="51">
        <f t="shared" si="225"/>
        <v>703000</v>
      </c>
      <c r="L341" s="51">
        <f t="shared" si="225"/>
        <v>703000</v>
      </c>
      <c r="M341" s="51">
        <f t="shared" si="225"/>
        <v>703000</v>
      </c>
      <c r="N341" s="51">
        <f t="shared" si="225"/>
        <v>703000</v>
      </c>
      <c r="O341" s="260">
        <f t="shared" si="225"/>
        <v>8436000</v>
      </c>
      <c r="P341" s="50">
        <f t="shared" si="221"/>
        <v>0.07055837563451776</v>
      </c>
    </row>
    <row r="342" spans="1:16" ht="15">
      <c r="A342" s="163" t="s">
        <v>78</v>
      </c>
      <c r="B342" s="258">
        <v>3500000</v>
      </c>
      <c r="C342" s="51">
        <f aca="true" t="shared" si="226" ref="C342:N342">ROUND(((+$B$342*$B$58)+$B$342)/12,-3)</f>
        <v>312000</v>
      </c>
      <c r="D342" s="51">
        <f t="shared" si="226"/>
        <v>312000</v>
      </c>
      <c r="E342" s="51">
        <f t="shared" si="226"/>
        <v>312000</v>
      </c>
      <c r="F342" s="51">
        <f t="shared" si="226"/>
        <v>312000</v>
      </c>
      <c r="G342" s="51">
        <f t="shared" si="226"/>
        <v>312000</v>
      </c>
      <c r="H342" s="51">
        <f t="shared" si="226"/>
        <v>312000</v>
      </c>
      <c r="I342" s="51">
        <f t="shared" si="226"/>
        <v>312000</v>
      </c>
      <c r="J342" s="51">
        <f t="shared" si="226"/>
        <v>312000</v>
      </c>
      <c r="K342" s="51">
        <f t="shared" si="226"/>
        <v>312000</v>
      </c>
      <c r="L342" s="51">
        <f t="shared" si="226"/>
        <v>312000</v>
      </c>
      <c r="M342" s="51">
        <f t="shared" si="226"/>
        <v>312000</v>
      </c>
      <c r="N342" s="51">
        <f t="shared" si="226"/>
        <v>312000</v>
      </c>
      <c r="O342" s="259">
        <f t="shared" si="224"/>
        <v>3744000</v>
      </c>
      <c r="P342" s="50">
        <f t="shared" si="221"/>
        <v>0.06971428571428571</v>
      </c>
    </row>
    <row r="343" spans="1:16" ht="15">
      <c r="A343" s="163" t="s">
        <v>79</v>
      </c>
      <c r="B343" s="258">
        <v>4380000</v>
      </c>
      <c r="C343" s="51">
        <f aca="true" t="shared" si="227" ref="C343:N343">ROUND(((+$B$343*$B$58)+$B$343)/12,-3)</f>
        <v>391000</v>
      </c>
      <c r="D343" s="51">
        <f t="shared" si="227"/>
        <v>391000</v>
      </c>
      <c r="E343" s="51">
        <f t="shared" si="227"/>
        <v>391000</v>
      </c>
      <c r="F343" s="51">
        <f t="shared" si="227"/>
        <v>391000</v>
      </c>
      <c r="G343" s="51">
        <f t="shared" si="227"/>
        <v>391000</v>
      </c>
      <c r="H343" s="51">
        <f t="shared" si="227"/>
        <v>391000</v>
      </c>
      <c r="I343" s="51">
        <f t="shared" si="227"/>
        <v>391000</v>
      </c>
      <c r="J343" s="51">
        <f t="shared" si="227"/>
        <v>391000</v>
      </c>
      <c r="K343" s="51">
        <f t="shared" si="227"/>
        <v>391000</v>
      </c>
      <c r="L343" s="51">
        <f t="shared" si="227"/>
        <v>391000</v>
      </c>
      <c r="M343" s="51">
        <f t="shared" si="227"/>
        <v>391000</v>
      </c>
      <c r="N343" s="51">
        <f t="shared" si="227"/>
        <v>391000</v>
      </c>
      <c r="O343" s="259">
        <f t="shared" si="224"/>
        <v>4692000</v>
      </c>
      <c r="P343" s="50">
        <f t="shared" si="221"/>
        <v>0.07123287671232877</v>
      </c>
    </row>
    <row r="344" spans="1:16" ht="15">
      <c r="A344" s="163" t="s">
        <v>80</v>
      </c>
      <c r="B344" s="260">
        <f>SUM(B345:B346)</f>
        <v>23441102</v>
      </c>
      <c r="C344" s="51">
        <f>SUM(C345:C346)</f>
        <v>2090000</v>
      </c>
      <c r="D344" s="51">
        <f aca="true" t="shared" si="228" ref="D344:O344">SUM(D345:D346)</f>
        <v>2090000</v>
      </c>
      <c r="E344" s="51">
        <f t="shared" si="228"/>
        <v>2090000</v>
      </c>
      <c r="F344" s="51">
        <f t="shared" si="228"/>
        <v>2090000</v>
      </c>
      <c r="G344" s="51">
        <f t="shared" si="228"/>
        <v>2090000</v>
      </c>
      <c r="H344" s="51">
        <f t="shared" si="228"/>
        <v>2090000</v>
      </c>
      <c r="I344" s="51">
        <f t="shared" si="228"/>
        <v>2090000</v>
      </c>
      <c r="J344" s="51">
        <f t="shared" si="228"/>
        <v>2090000</v>
      </c>
      <c r="K344" s="51">
        <f t="shared" si="228"/>
        <v>2090000</v>
      </c>
      <c r="L344" s="51">
        <f t="shared" si="228"/>
        <v>2090000</v>
      </c>
      <c r="M344" s="51">
        <f t="shared" si="228"/>
        <v>2090000</v>
      </c>
      <c r="N344" s="51">
        <f t="shared" si="228"/>
        <v>2090000</v>
      </c>
      <c r="O344" s="260">
        <f t="shared" si="228"/>
        <v>25080000</v>
      </c>
      <c r="P344" s="50">
        <f t="shared" si="221"/>
        <v>0.06991556966903689</v>
      </c>
    </row>
    <row r="345" spans="1:16" ht="15">
      <c r="A345" s="163" t="s">
        <v>81</v>
      </c>
      <c r="B345" s="258">
        <v>23391102</v>
      </c>
      <c r="C345" s="51">
        <f aca="true" t="shared" si="229" ref="C345:N345">ROUND(((+$B$345*$B$58)+$B$345)/12,-3)</f>
        <v>2086000</v>
      </c>
      <c r="D345" s="51">
        <f t="shared" si="229"/>
        <v>2086000</v>
      </c>
      <c r="E345" s="51">
        <f t="shared" si="229"/>
        <v>2086000</v>
      </c>
      <c r="F345" s="51">
        <f t="shared" si="229"/>
        <v>2086000</v>
      </c>
      <c r="G345" s="51">
        <f t="shared" si="229"/>
        <v>2086000</v>
      </c>
      <c r="H345" s="51">
        <f t="shared" si="229"/>
        <v>2086000</v>
      </c>
      <c r="I345" s="51">
        <f t="shared" si="229"/>
        <v>2086000</v>
      </c>
      <c r="J345" s="51">
        <f t="shared" si="229"/>
        <v>2086000</v>
      </c>
      <c r="K345" s="51">
        <f t="shared" si="229"/>
        <v>2086000</v>
      </c>
      <c r="L345" s="51">
        <f t="shared" si="229"/>
        <v>2086000</v>
      </c>
      <c r="M345" s="51">
        <f t="shared" si="229"/>
        <v>2086000</v>
      </c>
      <c r="N345" s="51">
        <f t="shared" si="229"/>
        <v>2086000</v>
      </c>
      <c r="O345" s="259">
        <f t="shared" si="224"/>
        <v>25032000</v>
      </c>
      <c r="P345" s="50">
        <f t="shared" si="221"/>
        <v>0.07015052133926825</v>
      </c>
    </row>
    <row r="346" spans="1:16" ht="15">
      <c r="A346" s="163" t="s">
        <v>82</v>
      </c>
      <c r="B346" s="258">
        <v>50000</v>
      </c>
      <c r="C346" s="51">
        <f aca="true" t="shared" si="230" ref="C346:N346">ROUND(((+$B$346*$B$58)+$B$346)/12,-3)</f>
        <v>4000</v>
      </c>
      <c r="D346" s="51">
        <f t="shared" si="230"/>
        <v>4000</v>
      </c>
      <c r="E346" s="51">
        <f t="shared" si="230"/>
        <v>4000</v>
      </c>
      <c r="F346" s="51">
        <f t="shared" si="230"/>
        <v>4000</v>
      </c>
      <c r="G346" s="51">
        <f t="shared" si="230"/>
        <v>4000</v>
      </c>
      <c r="H346" s="51">
        <f t="shared" si="230"/>
        <v>4000</v>
      </c>
      <c r="I346" s="51">
        <f t="shared" si="230"/>
        <v>4000</v>
      </c>
      <c r="J346" s="51">
        <f t="shared" si="230"/>
        <v>4000</v>
      </c>
      <c r="K346" s="51">
        <f t="shared" si="230"/>
        <v>4000</v>
      </c>
      <c r="L346" s="51">
        <f t="shared" si="230"/>
        <v>4000</v>
      </c>
      <c r="M346" s="51">
        <f t="shared" si="230"/>
        <v>4000</v>
      </c>
      <c r="N346" s="51">
        <f t="shared" si="230"/>
        <v>4000</v>
      </c>
      <c r="O346" s="259">
        <f t="shared" si="224"/>
        <v>48000</v>
      </c>
      <c r="P346" s="50">
        <f t="shared" si="221"/>
        <v>-0.04</v>
      </c>
    </row>
    <row r="347" spans="1:16" ht="15">
      <c r="A347" s="163" t="s">
        <v>83</v>
      </c>
      <c r="B347" s="260">
        <f aca="true" t="shared" si="231" ref="B347:O347">SUM(B348:B350)</f>
        <v>3506000</v>
      </c>
      <c r="C347" s="51">
        <f t="shared" si="231"/>
        <v>286000</v>
      </c>
      <c r="D347" s="51">
        <f t="shared" si="231"/>
        <v>366000</v>
      </c>
      <c r="E347" s="51">
        <f t="shared" si="231"/>
        <v>286000</v>
      </c>
      <c r="F347" s="51">
        <f t="shared" si="231"/>
        <v>286000</v>
      </c>
      <c r="G347" s="51">
        <f t="shared" si="231"/>
        <v>366000</v>
      </c>
      <c r="H347" s="51">
        <f t="shared" si="231"/>
        <v>286000</v>
      </c>
      <c r="I347" s="51">
        <f t="shared" si="231"/>
        <v>286000</v>
      </c>
      <c r="J347" s="51">
        <f t="shared" si="231"/>
        <v>366000</v>
      </c>
      <c r="K347" s="51">
        <f t="shared" si="231"/>
        <v>286000</v>
      </c>
      <c r="L347" s="51">
        <f t="shared" si="231"/>
        <v>286000</v>
      </c>
      <c r="M347" s="51">
        <f t="shared" si="231"/>
        <v>366000</v>
      </c>
      <c r="N347" s="51">
        <f t="shared" si="231"/>
        <v>286000</v>
      </c>
      <c r="O347" s="260">
        <f t="shared" si="231"/>
        <v>3752000</v>
      </c>
      <c r="P347" s="50">
        <f t="shared" si="221"/>
        <v>0.07016543069024529</v>
      </c>
    </row>
    <row r="348" spans="1:16" ht="15">
      <c r="A348" s="163" t="s">
        <v>243</v>
      </c>
      <c r="B348" s="258">
        <v>1068000</v>
      </c>
      <c r="C348" s="51">
        <f aca="true" t="shared" si="232" ref="C348:N348">ROUND(((+$B$348*$B$58)+$B$348)/12,-3)</f>
        <v>95000</v>
      </c>
      <c r="D348" s="51">
        <f t="shared" si="232"/>
        <v>95000</v>
      </c>
      <c r="E348" s="51">
        <f t="shared" si="232"/>
        <v>95000</v>
      </c>
      <c r="F348" s="51">
        <f t="shared" si="232"/>
        <v>95000</v>
      </c>
      <c r="G348" s="51">
        <f t="shared" si="232"/>
        <v>95000</v>
      </c>
      <c r="H348" s="51">
        <f t="shared" si="232"/>
        <v>95000</v>
      </c>
      <c r="I348" s="51">
        <f t="shared" si="232"/>
        <v>95000</v>
      </c>
      <c r="J348" s="51">
        <f t="shared" si="232"/>
        <v>95000</v>
      </c>
      <c r="K348" s="51">
        <f t="shared" si="232"/>
        <v>95000</v>
      </c>
      <c r="L348" s="51">
        <f t="shared" si="232"/>
        <v>95000</v>
      </c>
      <c r="M348" s="51">
        <f t="shared" si="232"/>
        <v>95000</v>
      </c>
      <c r="N348" s="51">
        <f t="shared" si="232"/>
        <v>95000</v>
      </c>
      <c r="O348" s="259">
        <f t="shared" si="224"/>
        <v>1140000</v>
      </c>
      <c r="P348" s="50">
        <f t="shared" si="221"/>
        <v>0.06741573033707865</v>
      </c>
    </row>
    <row r="349" spans="1:16" ht="15">
      <c r="A349" s="163" t="s">
        <v>515</v>
      </c>
      <c r="B349" s="258">
        <v>300000</v>
      </c>
      <c r="C349" s="51"/>
      <c r="D349" s="51">
        <f>ROUND(((+$B$349*$B$58)+$B$349)/4,-3)</f>
        <v>80000</v>
      </c>
      <c r="E349" s="51"/>
      <c r="F349" s="51"/>
      <c r="G349" s="51">
        <f>ROUND(((+$B$349*$B$58)+$B$349)/4,-3)</f>
        <v>80000</v>
      </c>
      <c r="H349" s="51"/>
      <c r="I349" s="51"/>
      <c r="J349" s="51">
        <f>ROUND(((+$B$349*$B$58)+$B$349)/4,-3)</f>
        <v>80000</v>
      </c>
      <c r="K349" s="51"/>
      <c r="L349" s="51"/>
      <c r="M349" s="51">
        <f>ROUND(((+$B$349*$B$58)+$B$349)/4,-3)</f>
        <v>80000</v>
      </c>
      <c r="N349" s="51"/>
      <c r="O349" s="259">
        <f aca="true" t="shared" si="233" ref="O349">SUM(C349:N349)</f>
        <v>320000</v>
      </c>
      <c r="P349" s="50">
        <f aca="true" t="shared" si="234" ref="P349:P350">+(O349-B349)/B349</f>
        <v>0.06666666666666667</v>
      </c>
    </row>
    <row r="350" spans="1:16" ht="15">
      <c r="A350" s="163" t="s">
        <v>516</v>
      </c>
      <c r="B350" s="258">
        <f>1538000+300000+300000</f>
        <v>2138000</v>
      </c>
      <c r="C350" s="51">
        <f aca="true" t="shared" si="235" ref="C350:N350">ROUND(((+$B$350*$B$58)+$B$350)/12,-3)</f>
        <v>191000</v>
      </c>
      <c r="D350" s="51">
        <f t="shared" si="235"/>
        <v>191000</v>
      </c>
      <c r="E350" s="51">
        <f t="shared" si="235"/>
        <v>191000</v>
      </c>
      <c r="F350" s="51">
        <f t="shared" si="235"/>
        <v>191000</v>
      </c>
      <c r="G350" s="51">
        <f t="shared" si="235"/>
        <v>191000</v>
      </c>
      <c r="H350" s="51">
        <f t="shared" si="235"/>
        <v>191000</v>
      </c>
      <c r="I350" s="51">
        <f t="shared" si="235"/>
        <v>191000</v>
      </c>
      <c r="J350" s="51">
        <f t="shared" si="235"/>
        <v>191000</v>
      </c>
      <c r="K350" s="51">
        <f t="shared" si="235"/>
        <v>191000</v>
      </c>
      <c r="L350" s="51">
        <f t="shared" si="235"/>
        <v>191000</v>
      </c>
      <c r="M350" s="51">
        <f t="shared" si="235"/>
        <v>191000</v>
      </c>
      <c r="N350" s="51">
        <f t="shared" si="235"/>
        <v>191000</v>
      </c>
      <c r="O350" s="259">
        <f aca="true" t="shared" si="236" ref="O350">SUM(C350:N350)</f>
        <v>2292000</v>
      </c>
      <c r="P350" s="50">
        <f t="shared" si="234"/>
        <v>0.07202993451824134</v>
      </c>
    </row>
    <row r="351" spans="1:16" ht="15">
      <c r="A351" s="163" t="s">
        <v>84</v>
      </c>
      <c r="B351" s="260">
        <v>750000</v>
      </c>
      <c r="C351" s="51">
        <f aca="true" t="shared" si="237" ref="C351:N351">ROUND(((+$B$351*$B$58)+$B$351)/12,-3)</f>
        <v>67000</v>
      </c>
      <c r="D351" s="51">
        <f t="shared" si="237"/>
        <v>67000</v>
      </c>
      <c r="E351" s="51">
        <f t="shared" si="237"/>
        <v>67000</v>
      </c>
      <c r="F351" s="51">
        <f t="shared" si="237"/>
        <v>67000</v>
      </c>
      <c r="G351" s="51">
        <f t="shared" si="237"/>
        <v>67000</v>
      </c>
      <c r="H351" s="51">
        <f t="shared" si="237"/>
        <v>67000</v>
      </c>
      <c r="I351" s="51">
        <f t="shared" si="237"/>
        <v>67000</v>
      </c>
      <c r="J351" s="51">
        <f t="shared" si="237"/>
        <v>67000</v>
      </c>
      <c r="K351" s="51">
        <f t="shared" si="237"/>
        <v>67000</v>
      </c>
      <c r="L351" s="51">
        <f t="shared" si="237"/>
        <v>67000</v>
      </c>
      <c r="M351" s="51">
        <f t="shared" si="237"/>
        <v>67000</v>
      </c>
      <c r="N351" s="51">
        <f t="shared" si="237"/>
        <v>67000</v>
      </c>
      <c r="O351" s="255">
        <f t="shared" si="224"/>
        <v>804000</v>
      </c>
      <c r="P351" s="50">
        <f>+(O347-B347)/B347</f>
        <v>0.07016543069024529</v>
      </c>
    </row>
    <row r="352" spans="1:16" ht="15">
      <c r="A352" s="163" t="s">
        <v>85</v>
      </c>
      <c r="B352" s="260">
        <f aca="true" t="shared" si="238" ref="B352:O352">SUM(B353:B366)</f>
        <v>9823278</v>
      </c>
      <c r="C352" s="51">
        <f t="shared" si="238"/>
        <v>3320000</v>
      </c>
      <c r="D352" s="51">
        <f t="shared" si="238"/>
        <v>3741000</v>
      </c>
      <c r="E352" s="51">
        <f t="shared" si="238"/>
        <v>1967000</v>
      </c>
      <c r="F352" s="51">
        <f t="shared" si="238"/>
        <v>970000</v>
      </c>
      <c r="G352" s="51">
        <f t="shared" si="238"/>
        <v>799000</v>
      </c>
      <c r="H352" s="51">
        <f t="shared" si="238"/>
        <v>971000</v>
      </c>
      <c r="I352" s="51">
        <f t="shared" si="238"/>
        <v>982000</v>
      </c>
      <c r="J352" s="51">
        <f t="shared" si="238"/>
        <v>6419000</v>
      </c>
      <c r="K352" s="51">
        <f t="shared" si="238"/>
        <v>1476000</v>
      </c>
      <c r="L352" s="51">
        <f t="shared" si="238"/>
        <v>1627000</v>
      </c>
      <c r="M352" s="51">
        <f t="shared" si="238"/>
        <v>779000</v>
      </c>
      <c r="N352" s="51">
        <f t="shared" si="238"/>
        <v>749000</v>
      </c>
      <c r="O352" s="260">
        <f t="shared" si="238"/>
        <v>23800000</v>
      </c>
      <c r="P352" s="50">
        <f aca="true" t="shared" si="239" ref="P352:P381">+(O352-B352)/B352</f>
        <v>1.4228164977108455</v>
      </c>
    </row>
    <row r="353" spans="1:16" ht="15">
      <c r="A353" s="163" t="s">
        <v>423</v>
      </c>
      <c r="B353" s="258">
        <v>5200000</v>
      </c>
      <c r="C353" s="51">
        <f aca="true" t="shared" si="240" ref="C353:N353">ROUND(((+$B$353*$B$58)+$B$353)/12,-3)</f>
        <v>464000</v>
      </c>
      <c r="D353" s="51">
        <f t="shared" si="240"/>
        <v>464000</v>
      </c>
      <c r="E353" s="51">
        <f t="shared" si="240"/>
        <v>464000</v>
      </c>
      <c r="F353" s="51">
        <f t="shared" si="240"/>
        <v>464000</v>
      </c>
      <c r="G353" s="51">
        <f t="shared" si="240"/>
        <v>464000</v>
      </c>
      <c r="H353" s="51">
        <f t="shared" si="240"/>
        <v>464000</v>
      </c>
      <c r="I353" s="51">
        <f t="shared" si="240"/>
        <v>464000</v>
      </c>
      <c r="J353" s="51">
        <f t="shared" si="240"/>
        <v>464000</v>
      </c>
      <c r="K353" s="51">
        <f t="shared" si="240"/>
        <v>464000</v>
      </c>
      <c r="L353" s="51">
        <f t="shared" si="240"/>
        <v>464000</v>
      </c>
      <c r="M353" s="51">
        <f t="shared" si="240"/>
        <v>464000</v>
      </c>
      <c r="N353" s="51">
        <f t="shared" si="240"/>
        <v>464000</v>
      </c>
      <c r="O353" s="259">
        <f t="shared" si="224"/>
        <v>5568000</v>
      </c>
      <c r="P353" s="50">
        <f t="shared" si="239"/>
        <v>0.07076923076923076</v>
      </c>
    </row>
    <row r="354" spans="1:16" ht="15">
      <c r="A354" s="163" t="s">
        <v>523</v>
      </c>
      <c r="B354" s="258">
        <v>300000</v>
      </c>
      <c r="C354" s="51">
        <v>120000</v>
      </c>
      <c r="D354" s="51">
        <v>120000</v>
      </c>
      <c r="E354" s="51"/>
      <c r="F354" s="51">
        <v>80000</v>
      </c>
      <c r="G354" s="51">
        <v>120000</v>
      </c>
      <c r="H354" s="51">
        <v>180000</v>
      </c>
      <c r="I354" s="51">
        <v>120000</v>
      </c>
      <c r="J354" s="51">
        <v>120000</v>
      </c>
      <c r="K354" s="51">
        <v>180000</v>
      </c>
      <c r="L354" s="51">
        <v>260000</v>
      </c>
      <c r="M354" s="51">
        <v>120000</v>
      </c>
      <c r="N354" s="51"/>
      <c r="O354" s="259">
        <f aca="true" t="shared" si="241" ref="O354">SUM(C354:N354)</f>
        <v>1420000</v>
      </c>
      <c r="P354" s="50">
        <f t="shared" si="239"/>
        <v>3.7333333333333334</v>
      </c>
    </row>
    <row r="355" spans="1:16" ht="15">
      <c r="A355" s="163" t="s">
        <v>424</v>
      </c>
      <c r="B355" s="258">
        <v>300000</v>
      </c>
      <c r="C355" s="51"/>
      <c r="D355" s="51"/>
      <c r="E355" s="51"/>
      <c r="F355" s="51"/>
      <c r="G355" s="51">
        <f aca="true" t="shared" si="242" ref="G355:N355">ROUND(((+$B$355*$B$58)+$B$355)/8,-3)</f>
        <v>40000</v>
      </c>
      <c r="H355" s="51">
        <f t="shared" si="242"/>
        <v>40000</v>
      </c>
      <c r="I355" s="51">
        <f t="shared" si="242"/>
        <v>40000</v>
      </c>
      <c r="J355" s="51">
        <f t="shared" si="242"/>
        <v>40000</v>
      </c>
      <c r="K355" s="51">
        <f t="shared" si="242"/>
        <v>40000</v>
      </c>
      <c r="L355" s="51">
        <f t="shared" si="242"/>
        <v>40000</v>
      </c>
      <c r="M355" s="51">
        <f t="shared" si="242"/>
        <v>40000</v>
      </c>
      <c r="N355" s="51">
        <f t="shared" si="242"/>
        <v>40000</v>
      </c>
      <c r="O355" s="259">
        <f t="shared" si="224"/>
        <v>320000</v>
      </c>
      <c r="P355" s="50">
        <f t="shared" si="239"/>
        <v>0.06666666666666667</v>
      </c>
    </row>
    <row r="356" spans="1:16" ht="15">
      <c r="A356" s="163" t="s">
        <v>425</v>
      </c>
      <c r="B356" s="258">
        <v>100000</v>
      </c>
      <c r="C356" s="73"/>
      <c r="D356" s="51">
        <v>90000</v>
      </c>
      <c r="E356" s="82"/>
      <c r="F356" s="51">
        <v>90000</v>
      </c>
      <c r="G356" s="51"/>
      <c r="H356" s="51">
        <v>90000</v>
      </c>
      <c r="I356" s="73">
        <v>0</v>
      </c>
      <c r="J356" s="73">
        <v>0</v>
      </c>
      <c r="K356" s="51">
        <v>90000</v>
      </c>
      <c r="L356" s="51">
        <v>0</v>
      </c>
      <c r="M356" s="51">
        <v>0</v>
      </c>
      <c r="N356" s="51">
        <v>90000</v>
      </c>
      <c r="O356" s="259">
        <f t="shared" si="224"/>
        <v>450000</v>
      </c>
      <c r="P356" s="50">
        <f t="shared" si="239"/>
        <v>3.5</v>
      </c>
    </row>
    <row r="357" spans="1:16" ht="15">
      <c r="A357" s="163" t="s">
        <v>522</v>
      </c>
      <c r="B357" s="258">
        <v>0</v>
      </c>
      <c r="C357" s="51">
        <v>20000</v>
      </c>
      <c r="D357" s="51">
        <v>400000</v>
      </c>
      <c r="E357" s="51"/>
      <c r="F357" s="51">
        <v>20000</v>
      </c>
      <c r="G357" s="51">
        <v>20000</v>
      </c>
      <c r="H357" s="51">
        <v>20000</v>
      </c>
      <c r="I357" s="51">
        <v>20000</v>
      </c>
      <c r="J357" s="74"/>
      <c r="K357" s="51">
        <v>20000</v>
      </c>
      <c r="L357" s="51">
        <v>20000</v>
      </c>
      <c r="M357" s="74"/>
      <c r="N357" s="51"/>
      <c r="O357" s="259">
        <f aca="true" t="shared" si="243" ref="O357">SUM(C357:N357)</f>
        <v>540000</v>
      </c>
      <c r="P357" s="50">
        <v>1</v>
      </c>
    </row>
    <row r="358" spans="1:16" ht="15">
      <c r="A358" s="163" t="s">
        <v>426</v>
      </c>
      <c r="B358" s="258">
        <v>900000</v>
      </c>
      <c r="C358" s="51">
        <f aca="true" t="shared" si="244" ref="C358:N358">ROUND(((+$B$358*$B$58)+$B$358)/12,-3)</f>
        <v>80000</v>
      </c>
      <c r="D358" s="51">
        <f t="shared" si="244"/>
        <v>80000</v>
      </c>
      <c r="E358" s="51">
        <f t="shared" si="244"/>
        <v>80000</v>
      </c>
      <c r="F358" s="51">
        <f t="shared" si="244"/>
        <v>80000</v>
      </c>
      <c r="G358" s="51">
        <f t="shared" si="244"/>
        <v>80000</v>
      </c>
      <c r="H358" s="51">
        <f t="shared" si="244"/>
        <v>80000</v>
      </c>
      <c r="I358" s="51">
        <f t="shared" si="244"/>
        <v>80000</v>
      </c>
      <c r="J358" s="51">
        <f t="shared" si="244"/>
        <v>80000</v>
      </c>
      <c r="K358" s="51">
        <f t="shared" si="244"/>
        <v>80000</v>
      </c>
      <c r="L358" s="51">
        <f t="shared" si="244"/>
        <v>80000</v>
      </c>
      <c r="M358" s="51">
        <f t="shared" si="244"/>
        <v>80000</v>
      </c>
      <c r="N358" s="51">
        <f t="shared" si="244"/>
        <v>80000</v>
      </c>
      <c r="O358" s="259">
        <f t="shared" si="224"/>
        <v>960000</v>
      </c>
      <c r="P358" s="50">
        <f t="shared" si="239"/>
        <v>0.06666666666666667</v>
      </c>
    </row>
    <row r="359" spans="1:16" ht="15">
      <c r="A359" s="163" t="s">
        <v>427</v>
      </c>
      <c r="B359" s="258">
        <v>105000</v>
      </c>
      <c r="C359" s="51"/>
      <c r="D359" s="51">
        <f>ROUND(((+$B$359*$B$58)+$B$359),-3)</f>
        <v>112000</v>
      </c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259">
        <f t="shared" si="224"/>
        <v>112000</v>
      </c>
      <c r="P359" s="50">
        <f t="shared" si="239"/>
        <v>0.06666666666666667</v>
      </c>
    </row>
    <row r="360" spans="1:16" ht="15">
      <c r="A360" s="163" t="s">
        <v>517</v>
      </c>
      <c r="B360" s="258">
        <v>1260000</v>
      </c>
      <c r="C360" s="51"/>
      <c r="D360" s="51"/>
      <c r="E360" s="51">
        <f>ROUND(((+$B$360*$B$58)+$B$360),-3)</f>
        <v>1348000</v>
      </c>
      <c r="F360" s="51"/>
      <c r="G360" s="51"/>
      <c r="H360" s="51"/>
      <c r="I360" s="51"/>
      <c r="J360" s="51"/>
      <c r="K360" s="51"/>
      <c r="L360" s="51"/>
      <c r="M360" s="51"/>
      <c r="N360" s="51"/>
      <c r="O360" s="259">
        <f aca="true" t="shared" si="245" ref="O360:O361">SUM(C360:N360)</f>
        <v>1348000</v>
      </c>
      <c r="P360" s="50">
        <f aca="true" t="shared" si="246" ref="P360">+(O360-B360)/B360</f>
        <v>0.06984126984126984</v>
      </c>
    </row>
    <row r="361" spans="1:16" ht="15">
      <c r="A361" s="163" t="s">
        <v>662</v>
      </c>
      <c r="B361" s="258">
        <v>0</v>
      </c>
      <c r="C361" s="51">
        <v>30000</v>
      </c>
      <c r="D361" s="51">
        <v>30000</v>
      </c>
      <c r="E361" s="51">
        <v>30000</v>
      </c>
      <c r="F361" s="51">
        <v>30000</v>
      </c>
      <c r="G361" s="51">
        <v>30000</v>
      </c>
      <c r="H361" s="51">
        <v>30000</v>
      </c>
      <c r="I361" s="51">
        <v>30000</v>
      </c>
      <c r="J361" s="51">
        <v>30000</v>
      </c>
      <c r="K361" s="51">
        <v>30000</v>
      </c>
      <c r="L361" s="51">
        <v>30000</v>
      </c>
      <c r="M361" s="51">
        <v>30000</v>
      </c>
      <c r="N361" s="51">
        <v>30000</v>
      </c>
      <c r="O361" s="259">
        <f t="shared" si="245"/>
        <v>360000</v>
      </c>
      <c r="P361" s="50">
        <v>1</v>
      </c>
    </row>
    <row r="362" spans="1:16" ht="15">
      <c r="A362" s="163" t="s">
        <v>428</v>
      </c>
      <c r="B362" s="258">
        <v>63000</v>
      </c>
      <c r="C362" s="51"/>
      <c r="D362" s="51"/>
      <c r="E362" s="51">
        <v>0</v>
      </c>
      <c r="F362" s="51"/>
      <c r="G362" s="51"/>
      <c r="H362" s="51">
        <f>ROUND(((+$B$362*$B$58)+$B$362)/3,-3)</f>
        <v>22000</v>
      </c>
      <c r="I362" s="51">
        <f>ROUND(((+$B$362*$B$58)+$B$362)/3,-3)</f>
        <v>22000</v>
      </c>
      <c r="J362" s="51">
        <f>ROUND(((+$B$362*$B$58)+$B$362)/3,-3)</f>
        <v>22000</v>
      </c>
      <c r="K362" s="51"/>
      <c r="L362" s="51"/>
      <c r="M362" s="51"/>
      <c r="N362" s="51"/>
      <c r="O362" s="259">
        <f t="shared" si="224"/>
        <v>66000</v>
      </c>
      <c r="P362" s="50">
        <f t="shared" si="239"/>
        <v>0.047619047619047616</v>
      </c>
    </row>
    <row r="363" spans="1:16" ht="15">
      <c r="A363" s="163" t="s">
        <v>704</v>
      </c>
      <c r="B363" s="258">
        <v>0</v>
      </c>
      <c r="C363" s="51">
        <v>161000</v>
      </c>
      <c r="D363" s="51"/>
      <c r="E363" s="51"/>
      <c r="F363" s="51">
        <v>161000</v>
      </c>
      <c r="G363" s="51"/>
      <c r="H363" s="51"/>
      <c r="I363" s="51">
        <v>161000</v>
      </c>
      <c r="J363" s="51"/>
      <c r="K363" s="51"/>
      <c r="L363" s="51">
        <v>161000</v>
      </c>
      <c r="M363" s="51"/>
      <c r="N363" s="51"/>
      <c r="O363" s="259">
        <f aca="true" t="shared" si="247" ref="O363">SUM(C363:N363)</f>
        <v>644000</v>
      </c>
      <c r="P363" s="50">
        <v>0</v>
      </c>
    </row>
    <row r="364" spans="1:16" ht="15">
      <c r="A364" s="163" t="s">
        <v>593</v>
      </c>
      <c r="B364" s="258">
        <v>110278</v>
      </c>
      <c r="C364" s="51">
        <v>2400000</v>
      </c>
      <c r="D364" s="51">
        <v>2400000</v>
      </c>
      <c r="E364" s="51"/>
      <c r="F364" s="51"/>
      <c r="G364" s="51"/>
      <c r="H364" s="51"/>
      <c r="I364" s="51"/>
      <c r="J364" s="51">
        <f>ROUND(((+$B$364*$B$58)+$B$364),-3)</f>
        <v>118000</v>
      </c>
      <c r="K364" s="51"/>
      <c r="L364" s="51"/>
      <c r="M364" s="51"/>
      <c r="N364" s="51"/>
      <c r="O364" s="259">
        <f t="shared" si="224"/>
        <v>4918000</v>
      </c>
      <c r="P364" s="50">
        <v>1</v>
      </c>
    </row>
    <row r="365" spans="1:16" ht="15">
      <c r="A365" s="291" t="s">
        <v>302</v>
      </c>
      <c r="B365" s="258">
        <v>985000</v>
      </c>
      <c r="C365" s="51"/>
      <c r="D365" s="51"/>
      <c r="E365" s="51">
        <v>0</v>
      </c>
      <c r="F365" s="51"/>
      <c r="G365" s="51"/>
      <c r="H365" s="51"/>
      <c r="I365" s="59"/>
      <c r="J365" s="51">
        <v>5500000</v>
      </c>
      <c r="K365" s="51">
        <f>ROUND(((+$B$365*$B$58)+$B$365)/2,-3)</f>
        <v>527000</v>
      </c>
      <c r="L365" s="51">
        <f>ROUND(((+$B$365*$B$58)+$B$365)/2,-3)</f>
        <v>527000</v>
      </c>
      <c r="M365" s="51"/>
      <c r="N365" s="51">
        <v>0</v>
      </c>
      <c r="O365" s="259">
        <f aca="true" t="shared" si="248" ref="O365">SUM(C365:N365)</f>
        <v>6554000</v>
      </c>
      <c r="P365" s="50">
        <f aca="true" t="shared" si="249" ref="P365">+(O365-B365)/B365</f>
        <v>5.653807106598984</v>
      </c>
    </row>
    <row r="366" spans="1:16" ht="15">
      <c r="A366" s="163" t="s">
        <v>303</v>
      </c>
      <c r="B366" s="258">
        <v>500000</v>
      </c>
      <c r="C366" s="51">
        <f aca="true" t="shared" si="250" ref="C366:N366">ROUND(((+$B$366*$B$58)+$B$366)/12,-3)</f>
        <v>45000</v>
      </c>
      <c r="D366" s="51">
        <f t="shared" si="250"/>
        <v>45000</v>
      </c>
      <c r="E366" s="51">
        <f t="shared" si="250"/>
        <v>45000</v>
      </c>
      <c r="F366" s="51">
        <f t="shared" si="250"/>
        <v>45000</v>
      </c>
      <c r="G366" s="51">
        <f t="shared" si="250"/>
        <v>45000</v>
      </c>
      <c r="H366" s="51">
        <f t="shared" si="250"/>
        <v>45000</v>
      </c>
      <c r="I366" s="51">
        <f t="shared" si="250"/>
        <v>45000</v>
      </c>
      <c r="J366" s="51">
        <f t="shared" si="250"/>
        <v>45000</v>
      </c>
      <c r="K366" s="51">
        <f t="shared" si="250"/>
        <v>45000</v>
      </c>
      <c r="L366" s="51">
        <f t="shared" si="250"/>
        <v>45000</v>
      </c>
      <c r="M366" s="51">
        <f t="shared" si="250"/>
        <v>45000</v>
      </c>
      <c r="N366" s="51">
        <f t="shared" si="250"/>
        <v>45000</v>
      </c>
      <c r="O366" s="259">
        <f t="shared" si="224"/>
        <v>540000</v>
      </c>
      <c r="P366" s="50">
        <f t="shared" si="239"/>
        <v>0.08</v>
      </c>
    </row>
    <row r="367" spans="1:16" ht="15">
      <c r="A367" s="163" t="s">
        <v>518</v>
      </c>
      <c r="B367" s="260">
        <v>660000</v>
      </c>
      <c r="C367" s="51">
        <f aca="true" t="shared" si="251" ref="C367:N367">ROUND(((+$B$367*$B$58)+$B$367)/12,-3)</f>
        <v>59000</v>
      </c>
      <c r="D367" s="51">
        <f t="shared" si="251"/>
        <v>59000</v>
      </c>
      <c r="E367" s="51">
        <f t="shared" si="251"/>
        <v>59000</v>
      </c>
      <c r="F367" s="51">
        <f t="shared" si="251"/>
        <v>59000</v>
      </c>
      <c r="G367" s="51">
        <f t="shared" si="251"/>
        <v>59000</v>
      </c>
      <c r="H367" s="51">
        <f t="shared" si="251"/>
        <v>59000</v>
      </c>
      <c r="I367" s="51">
        <f t="shared" si="251"/>
        <v>59000</v>
      </c>
      <c r="J367" s="51">
        <f t="shared" si="251"/>
        <v>59000</v>
      </c>
      <c r="K367" s="51">
        <f t="shared" si="251"/>
        <v>59000</v>
      </c>
      <c r="L367" s="51">
        <f t="shared" si="251"/>
        <v>59000</v>
      </c>
      <c r="M367" s="51">
        <f t="shared" si="251"/>
        <v>59000</v>
      </c>
      <c r="N367" s="51">
        <f t="shared" si="251"/>
        <v>59000</v>
      </c>
      <c r="O367" s="255">
        <f t="shared" si="224"/>
        <v>708000</v>
      </c>
      <c r="P367" s="50">
        <f t="shared" si="239"/>
        <v>0.07272727272727272</v>
      </c>
    </row>
    <row r="368" spans="1:16" ht="15">
      <c r="A368" s="163" t="s">
        <v>3</v>
      </c>
      <c r="B368" s="260">
        <f aca="true" t="shared" si="252" ref="B368:O368">SUM(B369:B376)</f>
        <v>13236548</v>
      </c>
      <c r="C368" s="51">
        <f t="shared" si="252"/>
        <v>1012000</v>
      </c>
      <c r="D368" s="51">
        <f t="shared" si="252"/>
        <v>1012000</v>
      </c>
      <c r="E368" s="51">
        <f t="shared" si="252"/>
        <v>1012000</v>
      </c>
      <c r="F368" s="51">
        <f t="shared" si="252"/>
        <v>1012000</v>
      </c>
      <c r="G368" s="51">
        <f t="shared" si="252"/>
        <v>1012000</v>
      </c>
      <c r="H368" s="51">
        <f t="shared" si="252"/>
        <v>1012000</v>
      </c>
      <c r="I368" s="51">
        <f t="shared" si="252"/>
        <v>1012000</v>
      </c>
      <c r="J368" s="51">
        <f t="shared" si="252"/>
        <v>7454000</v>
      </c>
      <c r="K368" s="51">
        <f t="shared" si="252"/>
        <v>2020000</v>
      </c>
      <c r="L368" s="51">
        <f t="shared" si="252"/>
        <v>2020000</v>
      </c>
      <c r="M368" s="51">
        <f t="shared" si="252"/>
        <v>1012000</v>
      </c>
      <c r="N368" s="51">
        <f t="shared" si="252"/>
        <v>1012000</v>
      </c>
      <c r="O368" s="260">
        <f t="shared" si="252"/>
        <v>20602000</v>
      </c>
      <c r="P368" s="50">
        <f t="shared" si="239"/>
        <v>0.5564481011212289</v>
      </c>
    </row>
    <row r="369" spans="1:16" ht="15">
      <c r="A369" s="163" t="s">
        <v>87</v>
      </c>
      <c r="B369" s="258">
        <v>8273448</v>
      </c>
      <c r="C369" s="51">
        <f aca="true" t="shared" si="253" ref="C369:N369">ROUND(((+$B$369*$B$58)+$B$369)/12,-3)</f>
        <v>738000</v>
      </c>
      <c r="D369" s="51">
        <f t="shared" si="253"/>
        <v>738000</v>
      </c>
      <c r="E369" s="51">
        <f t="shared" si="253"/>
        <v>738000</v>
      </c>
      <c r="F369" s="51">
        <f t="shared" si="253"/>
        <v>738000</v>
      </c>
      <c r="G369" s="51">
        <f t="shared" si="253"/>
        <v>738000</v>
      </c>
      <c r="H369" s="51">
        <f t="shared" si="253"/>
        <v>738000</v>
      </c>
      <c r="I369" s="51">
        <f t="shared" si="253"/>
        <v>738000</v>
      </c>
      <c r="J369" s="51">
        <f t="shared" si="253"/>
        <v>738000</v>
      </c>
      <c r="K369" s="51">
        <f t="shared" si="253"/>
        <v>738000</v>
      </c>
      <c r="L369" s="51">
        <f t="shared" si="253"/>
        <v>738000</v>
      </c>
      <c r="M369" s="51">
        <f t="shared" si="253"/>
        <v>738000</v>
      </c>
      <c r="N369" s="51">
        <f t="shared" si="253"/>
        <v>738000</v>
      </c>
      <c r="O369" s="259">
        <f t="shared" si="224"/>
        <v>8856000</v>
      </c>
      <c r="P369" s="50">
        <f t="shared" si="239"/>
        <v>0.07041223925018927</v>
      </c>
    </row>
    <row r="370" spans="1:16" ht="15">
      <c r="A370" s="163" t="s">
        <v>89</v>
      </c>
      <c r="B370" s="258">
        <v>43200</v>
      </c>
      <c r="C370" s="51">
        <f aca="true" t="shared" si="254" ref="C370:N370">ROUND(((+$B$370*$B$58)+$B$370)/12,-3)</f>
        <v>4000</v>
      </c>
      <c r="D370" s="51">
        <f t="shared" si="254"/>
        <v>4000</v>
      </c>
      <c r="E370" s="51">
        <f t="shared" si="254"/>
        <v>4000</v>
      </c>
      <c r="F370" s="51">
        <f t="shared" si="254"/>
        <v>4000</v>
      </c>
      <c r="G370" s="51">
        <f t="shared" si="254"/>
        <v>4000</v>
      </c>
      <c r="H370" s="51">
        <f t="shared" si="254"/>
        <v>4000</v>
      </c>
      <c r="I370" s="51">
        <f t="shared" si="254"/>
        <v>4000</v>
      </c>
      <c r="J370" s="51">
        <f t="shared" si="254"/>
        <v>4000</v>
      </c>
      <c r="K370" s="51">
        <f t="shared" si="254"/>
        <v>4000</v>
      </c>
      <c r="L370" s="51">
        <f t="shared" si="254"/>
        <v>4000</v>
      </c>
      <c r="M370" s="51">
        <f t="shared" si="254"/>
        <v>4000</v>
      </c>
      <c r="N370" s="51">
        <f t="shared" si="254"/>
        <v>4000</v>
      </c>
      <c r="O370" s="259">
        <f t="shared" si="224"/>
        <v>48000</v>
      </c>
      <c r="P370" s="50">
        <f t="shared" si="239"/>
        <v>0.1111111111111111</v>
      </c>
    </row>
    <row r="371" spans="1:16" ht="15">
      <c r="A371" s="163" t="s">
        <v>88</v>
      </c>
      <c r="B371" s="258">
        <v>1034400</v>
      </c>
      <c r="C371" s="51">
        <f aca="true" t="shared" si="255" ref="C371:N371">ROUND(((+$B$371*$B$58)+$B$371)/12,-3)</f>
        <v>92000</v>
      </c>
      <c r="D371" s="51">
        <f t="shared" si="255"/>
        <v>92000</v>
      </c>
      <c r="E371" s="51">
        <f t="shared" si="255"/>
        <v>92000</v>
      </c>
      <c r="F371" s="51">
        <f t="shared" si="255"/>
        <v>92000</v>
      </c>
      <c r="G371" s="51">
        <f t="shared" si="255"/>
        <v>92000</v>
      </c>
      <c r="H371" s="51">
        <f t="shared" si="255"/>
        <v>92000</v>
      </c>
      <c r="I371" s="51">
        <f t="shared" si="255"/>
        <v>92000</v>
      </c>
      <c r="J371" s="51">
        <f t="shared" si="255"/>
        <v>92000</v>
      </c>
      <c r="K371" s="51">
        <f t="shared" si="255"/>
        <v>92000</v>
      </c>
      <c r="L371" s="51">
        <f t="shared" si="255"/>
        <v>92000</v>
      </c>
      <c r="M371" s="51">
        <f t="shared" si="255"/>
        <v>92000</v>
      </c>
      <c r="N371" s="51">
        <f t="shared" si="255"/>
        <v>92000</v>
      </c>
      <c r="O371" s="259">
        <f t="shared" si="224"/>
        <v>1104000</v>
      </c>
      <c r="P371" s="50">
        <f t="shared" si="239"/>
        <v>0.06728538283062645</v>
      </c>
    </row>
    <row r="372" spans="1:16" ht="15">
      <c r="A372" s="291" t="s">
        <v>429</v>
      </c>
      <c r="B372" s="258">
        <f>210000+210000</f>
        <v>420000</v>
      </c>
      <c r="C372" s="51"/>
      <c r="D372" s="51"/>
      <c r="E372" s="51"/>
      <c r="F372" s="51"/>
      <c r="G372" s="51"/>
      <c r="H372" s="51"/>
      <c r="I372" s="51"/>
      <c r="J372" s="51">
        <v>350000</v>
      </c>
      <c r="K372" s="51">
        <f>ROUND(((+$B$372*$B$58)+$B$372)/2,-3)</f>
        <v>225000</v>
      </c>
      <c r="L372" s="51">
        <f>ROUND(((+$B$372*$B$58)+$B$372)/2,-3)</f>
        <v>225000</v>
      </c>
      <c r="M372" s="51"/>
      <c r="N372" s="51">
        <v>0</v>
      </c>
      <c r="O372" s="259">
        <f t="shared" si="224"/>
        <v>800000</v>
      </c>
      <c r="P372" s="50">
        <f t="shared" si="239"/>
        <v>0.9047619047619048</v>
      </c>
    </row>
    <row r="373" spans="1:16" ht="15">
      <c r="A373" s="291" t="s">
        <v>644</v>
      </c>
      <c r="B373" s="258">
        <v>70000</v>
      </c>
      <c r="C373" s="51"/>
      <c r="D373" s="51"/>
      <c r="E373" s="51"/>
      <c r="F373" s="51"/>
      <c r="G373" s="51"/>
      <c r="H373" s="51"/>
      <c r="I373" s="51"/>
      <c r="J373" s="51">
        <v>2000000</v>
      </c>
      <c r="K373" s="51">
        <f>ROUND(((+$B$373*$B$58)+$B$373)/2,-3)</f>
        <v>37000</v>
      </c>
      <c r="L373" s="51">
        <f>ROUND(((+$B$373*$B$58)+$B$373)/2,-3)</f>
        <v>37000</v>
      </c>
      <c r="M373" s="51"/>
      <c r="N373" s="51">
        <v>0</v>
      </c>
      <c r="O373" s="259">
        <f t="shared" si="224"/>
        <v>2074000</v>
      </c>
      <c r="P373" s="50">
        <f t="shared" si="239"/>
        <v>28.62857142857143</v>
      </c>
    </row>
    <row r="374" spans="1:16" ht="15">
      <c r="A374" s="291" t="s">
        <v>430</v>
      </c>
      <c r="B374" s="258">
        <f>650000+700000</f>
        <v>1350000</v>
      </c>
      <c r="C374" s="51"/>
      <c r="D374" s="51"/>
      <c r="E374" s="51"/>
      <c r="F374" s="51"/>
      <c r="G374" s="51"/>
      <c r="H374" s="51"/>
      <c r="I374" s="51"/>
      <c r="J374" s="51">
        <v>2120000</v>
      </c>
      <c r="K374" s="51">
        <f>ROUND(((+$B$374*$B$58)+$B$374)/2,-3)</f>
        <v>722000</v>
      </c>
      <c r="L374" s="51">
        <f>ROUND(((+$B$374*$B$58)+$B$374)/2,-3)</f>
        <v>722000</v>
      </c>
      <c r="M374" s="51"/>
      <c r="N374" s="51">
        <v>0</v>
      </c>
      <c r="O374" s="259">
        <f t="shared" si="224"/>
        <v>3564000</v>
      </c>
      <c r="P374" s="50">
        <f t="shared" si="239"/>
        <v>1.64</v>
      </c>
    </row>
    <row r="375" spans="1:16" ht="15">
      <c r="A375" s="291" t="s">
        <v>431</v>
      </c>
      <c r="B375" s="258">
        <f>23500+22000</f>
        <v>45500</v>
      </c>
      <c r="C375" s="51"/>
      <c r="D375" s="51"/>
      <c r="E375" s="51">
        <v>0</v>
      </c>
      <c r="F375" s="51"/>
      <c r="G375" s="51"/>
      <c r="H375" s="51"/>
      <c r="I375" s="51" t="s">
        <v>237</v>
      </c>
      <c r="J375" s="51">
        <v>1972000</v>
      </c>
      <c r="K375" s="51">
        <f>ROUND(((+$B$375*$B$58)+$B$375)/2,-3)</f>
        <v>24000</v>
      </c>
      <c r="L375" s="51">
        <f>ROUND(((+$B$375*$B$58)+$B$375)/2,-3)</f>
        <v>24000</v>
      </c>
      <c r="M375" s="51"/>
      <c r="N375" s="51">
        <v>0</v>
      </c>
      <c r="O375" s="259">
        <f t="shared" si="224"/>
        <v>2020000</v>
      </c>
      <c r="P375" s="50">
        <f t="shared" si="239"/>
        <v>43.395604395604394</v>
      </c>
    </row>
    <row r="376" spans="1:16" ht="15">
      <c r="A376" s="163" t="s">
        <v>90</v>
      </c>
      <c r="B376" s="258">
        <v>2000000</v>
      </c>
      <c r="C376" s="51">
        <f aca="true" t="shared" si="256" ref="C376:N376">ROUND(((+$B$376*$B$58)+$B$376)/12,-3)</f>
        <v>178000</v>
      </c>
      <c r="D376" s="51">
        <f t="shared" si="256"/>
        <v>178000</v>
      </c>
      <c r="E376" s="51">
        <f t="shared" si="256"/>
        <v>178000</v>
      </c>
      <c r="F376" s="51">
        <f t="shared" si="256"/>
        <v>178000</v>
      </c>
      <c r="G376" s="51">
        <f t="shared" si="256"/>
        <v>178000</v>
      </c>
      <c r="H376" s="51">
        <f t="shared" si="256"/>
        <v>178000</v>
      </c>
      <c r="I376" s="51">
        <f t="shared" si="256"/>
        <v>178000</v>
      </c>
      <c r="J376" s="51">
        <f t="shared" si="256"/>
        <v>178000</v>
      </c>
      <c r="K376" s="51">
        <f t="shared" si="256"/>
        <v>178000</v>
      </c>
      <c r="L376" s="51">
        <f t="shared" si="256"/>
        <v>178000</v>
      </c>
      <c r="M376" s="51">
        <f t="shared" si="256"/>
        <v>178000</v>
      </c>
      <c r="N376" s="51">
        <f t="shared" si="256"/>
        <v>178000</v>
      </c>
      <c r="O376" s="259">
        <f t="shared" si="224"/>
        <v>2136000</v>
      </c>
      <c r="P376" s="50">
        <f t="shared" si="239"/>
        <v>0.068</v>
      </c>
    </row>
    <row r="377" spans="1:16" ht="15">
      <c r="A377" s="29" t="s">
        <v>91</v>
      </c>
      <c r="B377" s="260">
        <f aca="true" t="shared" si="257" ref="B377:O377">+B378+B383</f>
        <v>15372000</v>
      </c>
      <c r="C377" s="30">
        <f t="shared" si="257"/>
        <v>1365000</v>
      </c>
      <c r="D377" s="30">
        <f t="shared" si="257"/>
        <v>1365000</v>
      </c>
      <c r="E377" s="30">
        <f t="shared" si="257"/>
        <v>1365000</v>
      </c>
      <c r="F377" s="30">
        <f t="shared" si="257"/>
        <v>1365000</v>
      </c>
      <c r="G377" s="30">
        <f t="shared" si="257"/>
        <v>1365000</v>
      </c>
      <c r="H377" s="30">
        <f t="shared" si="257"/>
        <v>1365000</v>
      </c>
      <c r="I377" s="30">
        <f t="shared" si="257"/>
        <v>1365000</v>
      </c>
      <c r="J377" s="30">
        <f t="shared" si="257"/>
        <v>1365000</v>
      </c>
      <c r="K377" s="30">
        <f t="shared" si="257"/>
        <v>1365000</v>
      </c>
      <c r="L377" s="30">
        <f t="shared" si="257"/>
        <v>1365000</v>
      </c>
      <c r="M377" s="30">
        <f t="shared" si="257"/>
        <v>1365000</v>
      </c>
      <c r="N377" s="30">
        <f t="shared" si="257"/>
        <v>1365000</v>
      </c>
      <c r="O377" s="260">
        <f t="shared" si="257"/>
        <v>16380000</v>
      </c>
      <c r="P377" s="50">
        <f t="shared" si="239"/>
        <v>0.06557377049180328</v>
      </c>
    </row>
    <row r="378" spans="1:16" s="31" customFormat="1" ht="15">
      <c r="A378" s="29" t="s">
        <v>92</v>
      </c>
      <c r="B378" s="260">
        <f aca="true" t="shared" si="258" ref="B378:O378">SUM(B379:B382)</f>
        <v>15302000</v>
      </c>
      <c r="C378" s="30">
        <f t="shared" si="258"/>
        <v>1365000</v>
      </c>
      <c r="D378" s="30">
        <f t="shared" si="258"/>
        <v>1365000</v>
      </c>
      <c r="E378" s="30">
        <f t="shared" si="258"/>
        <v>1365000</v>
      </c>
      <c r="F378" s="30">
        <f t="shared" si="258"/>
        <v>1365000</v>
      </c>
      <c r="G378" s="30">
        <f t="shared" si="258"/>
        <v>1365000</v>
      </c>
      <c r="H378" s="30">
        <f t="shared" si="258"/>
        <v>1365000</v>
      </c>
      <c r="I378" s="30">
        <f t="shared" si="258"/>
        <v>1365000</v>
      </c>
      <c r="J378" s="30">
        <f t="shared" si="258"/>
        <v>1365000</v>
      </c>
      <c r="K378" s="30">
        <f t="shared" si="258"/>
        <v>1365000</v>
      </c>
      <c r="L378" s="30">
        <f t="shared" si="258"/>
        <v>1365000</v>
      </c>
      <c r="M378" s="30">
        <f t="shared" si="258"/>
        <v>1365000</v>
      </c>
      <c r="N378" s="30">
        <f t="shared" si="258"/>
        <v>1365000</v>
      </c>
      <c r="O378" s="260">
        <f t="shared" si="258"/>
        <v>16380000</v>
      </c>
      <c r="P378" s="50">
        <f t="shared" si="239"/>
        <v>0.07044830741079597</v>
      </c>
    </row>
    <row r="379" spans="1:16" ht="15">
      <c r="A379" s="163" t="s">
        <v>93</v>
      </c>
      <c r="B379" s="258">
        <v>7556000</v>
      </c>
      <c r="C379" s="51">
        <f aca="true" t="shared" si="259" ref="C379:N379">ROUND(((+$B$379*$B$58)+$B$379)/12,-3)</f>
        <v>674000</v>
      </c>
      <c r="D379" s="51">
        <f t="shared" si="259"/>
        <v>674000</v>
      </c>
      <c r="E379" s="51">
        <f t="shared" si="259"/>
        <v>674000</v>
      </c>
      <c r="F379" s="51">
        <f t="shared" si="259"/>
        <v>674000</v>
      </c>
      <c r="G379" s="51">
        <f t="shared" si="259"/>
        <v>674000</v>
      </c>
      <c r="H379" s="51">
        <f t="shared" si="259"/>
        <v>674000</v>
      </c>
      <c r="I379" s="51">
        <f t="shared" si="259"/>
        <v>674000</v>
      </c>
      <c r="J379" s="51">
        <f t="shared" si="259"/>
        <v>674000</v>
      </c>
      <c r="K379" s="51">
        <f t="shared" si="259"/>
        <v>674000</v>
      </c>
      <c r="L379" s="51">
        <f t="shared" si="259"/>
        <v>674000</v>
      </c>
      <c r="M379" s="51">
        <f t="shared" si="259"/>
        <v>674000</v>
      </c>
      <c r="N379" s="51">
        <f t="shared" si="259"/>
        <v>674000</v>
      </c>
      <c r="O379" s="267">
        <f aca="true" t="shared" si="260" ref="O379:O383">SUM(C379:N379)</f>
        <v>8088000</v>
      </c>
      <c r="P379" s="50">
        <f t="shared" si="239"/>
        <v>0.07040762308099524</v>
      </c>
    </row>
    <row r="380" spans="1:16" ht="15">
      <c r="A380" s="163" t="s">
        <v>645</v>
      </c>
      <c r="B380" s="258">
        <v>546000</v>
      </c>
      <c r="C380" s="51">
        <f aca="true" t="shared" si="261" ref="C380:N380">ROUND(((+$B$380*$B$58)+$B$380)/12,-3)</f>
        <v>49000</v>
      </c>
      <c r="D380" s="51">
        <f t="shared" si="261"/>
        <v>49000</v>
      </c>
      <c r="E380" s="51">
        <f t="shared" si="261"/>
        <v>49000</v>
      </c>
      <c r="F380" s="51">
        <f t="shared" si="261"/>
        <v>49000</v>
      </c>
      <c r="G380" s="51">
        <f t="shared" si="261"/>
        <v>49000</v>
      </c>
      <c r="H380" s="51">
        <f t="shared" si="261"/>
        <v>49000</v>
      </c>
      <c r="I380" s="51">
        <f t="shared" si="261"/>
        <v>49000</v>
      </c>
      <c r="J380" s="51">
        <f t="shared" si="261"/>
        <v>49000</v>
      </c>
      <c r="K380" s="51">
        <f t="shared" si="261"/>
        <v>49000</v>
      </c>
      <c r="L380" s="51">
        <f t="shared" si="261"/>
        <v>49000</v>
      </c>
      <c r="M380" s="51">
        <f t="shared" si="261"/>
        <v>49000</v>
      </c>
      <c r="N380" s="51">
        <f t="shared" si="261"/>
        <v>49000</v>
      </c>
      <c r="O380" s="267">
        <f t="shared" si="260"/>
        <v>588000</v>
      </c>
      <c r="P380" s="50">
        <f t="shared" si="239"/>
        <v>0.07692307692307693</v>
      </c>
    </row>
    <row r="381" spans="1:16" ht="15">
      <c r="A381" s="163" t="s">
        <v>95</v>
      </c>
      <c r="B381" s="258">
        <v>7200000</v>
      </c>
      <c r="C381" s="51">
        <f aca="true" t="shared" si="262" ref="C381:N381">ROUND(((+$B$381*$B$58)+$B$381)/12,-3)</f>
        <v>642000</v>
      </c>
      <c r="D381" s="51">
        <f t="shared" si="262"/>
        <v>642000</v>
      </c>
      <c r="E381" s="51">
        <f t="shared" si="262"/>
        <v>642000</v>
      </c>
      <c r="F381" s="51">
        <f t="shared" si="262"/>
        <v>642000</v>
      </c>
      <c r="G381" s="51">
        <f t="shared" si="262"/>
        <v>642000</v>
      </c>
      <c r="H381" s="51">
        <f t="shared" si="262"/>
        <v>642000</v>
      </c>
      <c r="I381" s="51">
        <f t="shared" si="262"/>
        <v>642000</v>
      </c>
      <c r="J381" s="51">
        <f t="shared" si="262"/>
        <v>642000</v>
      </c>
      <c r="K381" s="51">
        <f t="shared" si="262"/>
        <v>642000</v>
      </c>
      <c r="L381" s="51">
        <f t="shared" si="262"/>
        <v>642000</v>
      </c>
      <c r="M381" s="51">
        <f t="shared" si="262"/>
        <v>642000</v>
      </c>
      <c r="N381" s="51">
        <f t="shared" si="262"/>
        <v>642000</v>
      </c>
      <c r="O381" s="267">
        <f t="shared" si="260"/>
        <v>7704000</v>
      </c>
      <c r="P381" s="50">
        <f t="shared" si="239"/>
        <v>0.07</v>
      </c>
    </row>
    <row r="382" spans="1:16" ht="15">
      <c r="A382" s="163" t="s">
        <v>127</v>
      </c>
      <c r="B382" s="258">
        <v>0</v>
      </c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267">
        <f t="shared" si="260"/>
        <v>0</v>
      </c>
      <c r="P382" s="50">
        <v>1</v>
      </c>
    </row>
    <row r="383" spans="1:16" ht="15" thickBot="1">
      <c r="A383" s="165" t="s">
        <v>304</v>
      </c>
      <c r="B383" s="303">
        <v>70000</v>
      </c>
      <c r="C383" s="52">
        <v>0</v>
      </c>
      <c r="D383" s="52">
        <v>0</v>
      </c>
      <c r="E383" s="52">
        <v>0</v>
      </c>
      <c r="F383" s="52">
        <v>0</v>
      </c>
      <c r="G383" s="52">
        <v>0</v>
      </c>
      <c r="H383" s="52">
        <v>0</v>
      </c>
      <c r="I383" s="52">
        <v>0</v>
      </c>
      <c r="J383" s="52">
        <v>0</v>
      </c>
      <c r="K383" s="52">
        <v>0</v>
      </c>
      <c r="L383" s="52">
        <v>0</v>
      </c>
      <c r="M383" s="52">
        <v>0</v>
      </c>
      <c r="N383" s="52">
        <v>0</v>
      </c>
      <c r="O383" s="304">
        <f t="shared" si="260"/>
        <v>0</v>
      </c>
      <c r="P383" s="276"/>
    </row>
    <row r="384" ht="15" thickBot="1">
      <c r="A384" s="41" t="s">
        <v>96</v>
      </c>
    </row>
    <row r="385" spans="1:15" ht="15" thickBot="1">
      <c r="A385" s="307" t="s">
        <v>182</v>
      </c>
      <c r="B385" s="306">
        <f aca="true" t="shared" si="263" ref="B385:O385">+B7-B60</f>
        <v>221098478.61416626</v>
      </c>
      <c r="C385" s="306">
        <f t="shared" si="263"/>
        <v>-27945746.28163171</v>
      </c>
      <c r="D385" s="306">
        <f t="shared" si="263"/>
        <v>69843293.62244892</v>
      </c>
      <c r="E385" s="306">
        <f t="shared" si="263"/>
        <v>1021554511.7578604</v>
      </c>
      <c r="F385" s="306">
        <f t="shared" si="263"/>
        <v>-39693534.14820421</v>
      </c>
      <c r="G385" s="306">
        <f t="shared" si="263"/>
        <v>-64635585.55452563</v>
      </c>
      <c r="H385" s="306">
        <f t="shared" si="263"/>
        <v>-103803175.30152686</v>
      </c>
      <c r="I385" s="306">
        <f t="shared" si="263"/>
        <v>-120320065.79272442</v>
      </c>
      <c r="J385" s="306">
        <f t="shared" si="263"/>
        <v>-119083832.40412104</v>
      </c>
      <c r="K385" s="306">
        <f t="shared" si="263"/>
        <v>-153965456.34360108</v>
      </c>
      <c r="L385" s="306">
        <f t="shared" si="263"/>
        <v>-119753785.84657857</v>
      </c>
      <c r="M385" s="306">
        <f t="shared" si="263"/>
        <v>-137348620.8426307</v>
      </c>
      <c r="N385" s="306">
        <f t="shared" si="263"/>
        <v>-171810087.84873617</v>
      </c>
      <c r="O385" s="305">
        <f t="shared" si="263"/>
        <v>33037915.016029358</v>
      </c>
    </row>
    <row r="387" spans="6:15" ht="15">
      <c r="F387" s="42"/>
      <c r="O387" s="79"/>
    </row>
    <row r="388" spans="2:17" ht="15">
      <c r="B388" s="41"/>
      <c r="C388" s="41"/>
      <c r="O388" s="168" t="s">
        <v>4</v>
      </c>
      <c r="Q388" s="201">
        <v>2017</v>
      </c>
    </row>
    <row r="389" spans="1:43" ht="15">
      <c r="A389" s="204" t="s">
        <v>185</v>
      </c>
      <c r="C389" s="182">
        <f>SUM(C390:C392)</f>
        <v>29354000</v>
      </c>
      <c r="D389" s="182">
        <f aca="true" t="shared" si="264" ref="D389:N389">SUM(D390:D393)</f>
        <v>33538000</v>
      </c>
      <c r="E389" s="182">
        <f t="shared" si="264"/>
        <v>24234000</v>
      </c>
      <c r="F389" s="182">
        <f t="shared" si="264"/>
        <v>25714000</v>
      </c>
      <c r="G389" s="182">
        <f t="shared" si="264"/>
        <v>24920000</v>
      </c>
      <c r="H389" s="182">
        <f t="shared" si="264"/>
        <v>27386000</v>
      </c>
      <c r="I389" s="182">
        <f t="shared" si="264"/>
        <v>23141000</v>
      </c>
      <c r="J389" s="182">
        <f t="shared" si="264"/>
        <v>19015000</v>
      </c>
      <c r="K389" s="182">
        <f t="shared" si="264"/>
        <v>15662000</v>
      </c>
      <c r="L389" s="184">
        <f t="shared" si="264"/>
        <v>15253000</v>
      </c>
      <c r="M389" s="184">
        <f t="shared" si="264"/>
        <v>7942851.600092506</v>
      </c>
      <c r="N389" s="183">
        <f t="shared" si="264"/>
        <v>6932401.555224881</v>
      </c>
      <c r="O389" s="182">
        <f aca="true" t="shared" si="265" ref="O389">SUM(O390:O393)</f>
        <v>253092253.1553174</v>
      </c>
      <c r="P389" s="188"/>
      <c r="Q389" s="182">
        <f>SUM(Q390:Q392)</f>
        <v>259758512.73141426</v>
      </c>
      <c r="R389" s="190"/>
      <c r="S389" s="190"/>
      <c r="T389" s="188"/>
      <c r="U389" s="189"/>
      <c r="V389" s="190"/>
      <c r="W389" s="190"/>
      <c r="X389" s="188"/>
      <c r="Y389" s="189"/>
      <c r="Z389" s="190"/>
      <c r="AA389" s="190"/>
      <c r="AB389" s="188"/>
      <c r="AC389" s="189"/>
      <c r="AD389" s="190"/>
      <c r="AE389" s="190"/>
      <c r="AF389" s="188"/>
      <c r="AG389" s="189"/>
      <c r="AH389" s="190"/>
      <c r="AI389" s="190"/>
      <c r="AJ389" s="188"/>
      <c r="AK389" s="189"/>
      <c r="AL389" s="190"/>
      <c r="AM389" s="190"/>
      <c r="AN389" s="188"/>
      <c r="AO389" s="189"/>
      <c r="AP389" s="190"/>
      <c r="AQ389" s="190"/>
    </row>
    <row r="390" spans="1:43" ht="15">
      <c r="A390" s="205" t="s">
        <v>186</v>
      </c>
      <c r="C390" s="185">
        <v>16382000</v>
      </c>
      <c r="D390" s="185">
        <v>19517000</v>
      </c>
      <c r="E390" s="185">
        <v>12820000</v>
      </c>
      <c r="F390" s="185">
        <v>14195000</v>
      </c>
      <c r="G390" s="185">
        <v>14409000</v>
      </c>
      <c r="H390" s="185">
        <v>15554000</v>
      </c>
      <c r="I390" s="185">
        <v>13253000</v>
      </c>
      <c r="J390" s="185">
        <v>12239000</v>
      </c>
      <c r="K390" s="185">
        <v>11099000</v>
      </c>
      <c r="L390" s="186">
        <v>11021000</v>
      </c>
      <c r="M390" s="187">
        <v>3950352.212738828</v>
      </c>
      <c r="N390" s="200">
        <v>3447808.067188081</v>
      </c>
      <c r="O390" s="185">
        <f>SUM(C390:N390)</f>
        <v>147887160.27992693</v>
      </c>
      <c r="P390" s="199">
        <v>0.53</v>
      </c>
      <c r="Q390" s="182">
        <f>+O390*16%+O390</f>
        <v>171549105.92471522</v>
      </c>
      <c r="R390" s="193"/>
      <c r="S390" s="193"/>
      <c r="T390" s="191"/>
      <c r="U390" s="192"/>
      <c r="V390" s="193"/>
      <c r="W390" s="193"/>
      <c r="X390" s="191"/>
      <c r="Y390" s="192"/>
      <c r="Z390" s="193"/>
      <c r="AA390" s="193"/>
      <c r="AB390" s="191"/>
      <c r="AC390" s="192"/>
      <c r="AD390" s="193"/>
      <c r="AE390" s="193"/>
      <c r="AF390" s="191"/>
      <c r="AG390" s="192"/>
      <c r="AH390" s="193"/>
      <c r="AI390" s="193"/>
      <c r="AJ390" s="191"/>
      <c r="AK390" s="192"/>
      <c r="AL390" s="193"/>
      <c r="AM390" s="193"/>
      <c r="AN390" s="191"/>
      <c r="AO390" s="192"/>
      <c r="AP390" s="194"/>
      <c r="AQ390" s="194"/>
    </row>
    <row r="391" spans="1:43" ht="15">
      <c r="A391" s="205" t="s">
        <v>187</v>
      </c>
      <c r="C391" s="185">
        <v>12972000</v>
      </c>
      <c r="D391" s="185">
        <v>14021000</v>
      </c>
      <c r="E391" s="185">
        <v>11414000</v>
      </c>
      <c r="F391" s="185">
        <v>11519000</v>
      </c>
      <c r="G391" s="185">
        <v>10511000</v>
      </c>
      <c r="H391" s="185">
        <v>11832000</v>
      </c>
      <c r="I391" s="185">
        <v>9888000</v>
      </c>
      <c r="J391" s="185">
        <v>11544000</v>
      </c>
      <c r="K391" s="185">
        <v>9653000</v>
      </c>
      <c r="L391" s="186">
        <v>9351000</v>
      </c>
      <c r="M391" s="187">
        <v>3992499.387353678</v>
      </c>
      <c r="N391" s="200">
        <v>3484593.4880367992</v>
      </c>
      <c r="O391" s="185">
        <f>SUM(C391:N391)</f>
        <v>120182092.87539047</v>
      </c>
      <c r="P391" s="199">
        <f>+O391/O389</f>
        <v>0.4748548854304017</v>
      </c>
      <c r="Q391" s="182">
        <f>+O391*15%+O391</f>
        <v>138209406.80669904</v>
      </c>
      <c r="R391" s="193"/>
      <c r="S391" s="193"/>
      <c r="T391" s="191"/>
      <c r="U391" s="192"/>
      <c r="V391" s="193"/>
      <c r="W391" s="193"/>
      <c r="X391" s="191"/>
      <c r="Y391" s="192"/>
      <c r="Z391" s="193"/>
      <c r="AA391" s="193"/>
      <c r="AB391" s="191"/>
      <c r="AC391" s="192"/>
      <c r="AD391" s="193"/>
      <c r="AE391" s="193"/>
      <c r="AF391" s="191"/>
      <c r="AG391" s="192"/>
      <c r="AH391" s="193"/>
      <c r="AI391" s="193"/>
      <c r="AJ391" s="191"/>
      <c r="AK391" s="192"/>
      <c r="AL391" s="193"/>
      <c r="AM391" s="193"/>
      <c r="AN391" s="191"/>
      <c r="AO391" s="192"/>
      <c r="AP391" s="194"/>
      <c r="AQ391" s="194"/>
    </row>
    <row r="392" spans="1:43" ht="15">
      <c r="A392" s="205" t="s">
        <v>652</v>
      </c>
      <c r="C392" s="185"/>
      <c r="D392" s="185"/>
      <c r="E392" s="185"/>
      <c r="F392" s="185"/>
      <c r="G392" s="185"/>
      <c r="H392" s="185"/>
      <c r="I392" s="185"/>
      <c r="J392" s="185">
        <v>-4768000</v>
      </c>
      <c r="K392" s="185">
        <v>-5090000</v>
      </c>
      <c r="L392" s="185">
        <v>-5119000</v>
      </c>
      <c r="M392" s="208">
        <v>0</v>
      </c>
      <c r="N392" s="208">
        <v>0</v>
      </c>
      <c r="O392" s="185">
        <f>SUM(C392:N392)</f>
        <v>-14977000</v>
      </c>
      <c r="P392" s="199"/>
      <c r="Q392" s="182">
        <v>-50000000</v>
      </c>
      <c r="R392" s="193"/>
      <c r="S392" s="193"/>
      <c r="T392" s="191"/>
      <c r="U392" s="192"/>
      <c r="V392" s="193"/>
      <c r="W392" s="193"/>
      <c r="X392" s="191"/>
      <c r="Y392" s="192"/>
      <c r="Z392" s="193"/>
      <c r="AA392" s="193"/>
      <c r="AB392" s="191"/>
      <c r="AC392" s="192"/>
      <c r="AD392" s="193"/>
      <c r="AE392" s="193"/>
      <c r="AF392" s="191"/>
      <c r="AG392" s="192"/>
      <c r="AH392" s="193"/>
      <c r="AI392" s="193"/>
      <c r="AJ392" s="191"/>
      <c r="AK392" s="192"/>
      <c r="AL392" s="193"/>
      <c r="AM392" s="193"/>
      <c r="AN392" s="191"/>
      <c r="AO392" s="192"/>
      <c r="AP392" s="194"/>
      <c r="AQ392" s="194"/>
    </row>
    <row r="393" ht="15">
      <c r="C393" s="195"/>
    </row>
    <row r="394" spans="3:14" ht="15">
      <c r="C394" s="209">
        <f>+C389/$O$389</f>
        <v>0.11598142429901269</v>
      </c>
      <c r="D394" s="209">
        <f aca="true" t="shared" si="266" ref="D394:N394">+D389/$O$389</f>
        <v>0.13251294570212876</v>
      </c>
      <c r="E394" s="209">
        <f t="shared" si="266"/>
        <v>0.09575164667378461</v>
      </c>
      <c r="F394" s="209">
        <f t="shared" si="266"/>
        <v>0.1015993167685771</v>
      </c>
      <c r="G394" s="209">
        <f t="shared" si="266"/>
        <v>0.09846212078528978</v>
      </c>
      <c r="H394" s="209">
        <f t="shared" si="266"/>
        <v>0.10820560352431564</v>
      </c>
      <c r="I394" s="209">
        <f t="shared" si="266"/>
        <v>0.09143306328621151</v>
      </c>
      <c r="J394" s="209">
        <f t="shared" si="266"/>
        <v>0.07513070733275623</v>
      </c>
      <c r="K394" s="209">
        <f t="shared" si="266"/>
        <v>0.06188257366529729</v>
      </c>
      <c r="L394" s="209">
        <f t="shared" si="266"/>
        <v>0.060266562132344506</v>
      </c>
      <c r="M394" s="209">
        <f t="shared" si="266"/>
        <v>0.03138322687110516</v>
      </c>
      <c r="N394" s="209">
        <f t="shared" si="266"/>
        <v>0.02739080895917668</v>
      </c>
    </row>
    <row r="395" spans="3:14" ht="15">
      <c r="C395" s="198">
        <f>+C390/$O$390</f>
        <v>0.11077364640034655</v>
      </c>
      <c r="D395" s="198">
        <f aca="true" t="shared" si="267" ref="D395:N395">+D390/$O$390</f>
        <v>0.13197224128894905</v>
      </c>
      <c r="E395" s="198">
        <f t="shared" si="267"/>
        <v>0.08668771498305718</v>
      </c>
      <c r="F395" s="198">
        <f t="shared" si="267"/>
        <v>0.09598534432016355</v>
      </c>
      <c r="G395" s="198">
        <f t="shared" si="267"/>
        <v>0.09743239354062956</v>
      </c>
      <c r="H395" s="198">
        <f t="shared" si="267"/>
        <v>0.10517478306134723</v>
      </c>
      <c r="I395" s="198">
        <f t="shared" si="267"/>
        <v>0.08961562298521504</v>
      </c>
      <c r="J395" s="198">
        <f t="shared" si="267"/>
        <v>0.08275904396861442</v>
      </c>
      <c r="K395" s="198">
        <f t="shared" si="267"/>
        <v>0.07505046400912259</v>
      </c>
      <c r="L395" s="198">
        <f t="shared" si="267"/>
        <v>0.07452303485399947</v>
      </c>
      <c r="M395" s="198">
        <f t="shared" si="267"/>
        <v>0.026711935000046236</v>
      </c>
      <c r="N395" s="198">
        <f t="shared" si="267"/>
        <v>0.023313775588509018</v>
      </c>
    </row>
    <row r="396" spans="3:14" ht="15">
      <c r="C396" s="198">
        <f>+C391/$O$391</f>
        <v>0.10793621320482312</v>
      </c>
      <c r="D396" s="198">
        <f aca="true" t="shared" si="268" ref="D396:N396">+D391/$O$391</f>
        <v>0.11666463500962265</v>
      </c>
      <c r="E396" s="198">
        <f t="shared" si="268"/>
        <v>0.09497255145851458</v>
      </c>
      <c r="F396" s="198">
        <f t="shared" si="268"/>
        <v>0.09584622570970996</v>
      </c>
      <c r="G396" s="198">
        <f t="shared" si="268"/>
        <v>0.08745895289823434</v>
      </c>
      <c r="H396" s="198">
        <f t="shared" si="268"/>
        <v>0.0984506070489876</v>
      </c>
      <c r="I396" s="198">
        <f t="shared" si="268"/>
        <v>0.08227515234114177</v>
      </c>
      <c r="J396" s="198">
        <f t="shared" si="268"/>
        <v>0.096054243388566</v>
      </c>
      <c r="K396" s="198">
        <f t="shared" si="268"/>
        <v>0.08031978615989498</v>
      </c>
      <c r="L396" s="198">
        <f t="shared" si="268"/>
        <v>0.07780693259931398</v>
      </c>
      <c r="M396" s="198">
        <f t="shared" si="268"/>
        <v>0.033220418215659284</v>
      </c>
      <c r="N396" s="198">
        <f t="shared" si="268"/>
        <v>0.02899428196553178</v>
      </c>
    </row>
    <row r="398" spans="1:44" ht="15">
      <c r="A398" s="204" t="s">
        <v>188</v>
      </c>
      <c r="C398" s="182">
        <f aca="true" t="shared" si="269" ref="C398">SUM(C399:C402)</f>
        <v>105781800</v>
      </c>
      <c r="D398" s="182">
        <f aca="true" t="shared" si="270" ref="D398:N398">SUM(D399:D402)</f>
        <v>175987000</v>
      </c>
      <c r="E398" s="182">
        <f t="shared" si="270"/>
        <v>959189870</v>
      </c>
      <c r="F398" s="182">
        <f t="shared" si="270"/>
        <v>76698000</v>
      </c>
      <c r="G398" s="182">
        <f t="shared" si="270"/>
        <v>61781000</v>
      </c>
      <c r="H398" s="182">
        <f t="shared" si="270"/>
        <v>42076000</v>
      </c>
      <c r="I398" s="182">
        <f t="shared" si="270"/>
        <v>24456000</v>
      </c>
      <c r="J398" s="182">
        <f t="shared" si="270"/>
        <v>28011100</v>
      </c>
      <c r="K398" s="182">
        <f t="shared" si="270"/>
        <v>21991000</v>
      </c>
      <c r="L398" s="182">
        <f t="shared" si="270"/>
        <v>14068000</v>
      </c>
      <c r="M398" s="182">
        <f t="shared" si="270"/>
        <v>12692546.851414671</v>
      </c>
      <c r="N398" s="182">
        <f t="shared" si="270"/>
        <v>11076809.489219189</v>
      </c>
      <c r="O398" s="182">
        <f>SUM(O399:O402)</f>
        <v>1533809126.3406339</v>
      </c>
      <c r="P398" s="188"/>
      <c r="Q398" s="182">
        <f>+O398*11%+O398</f>
        <v>1702528130.2381036</v>
      </c>
      <c r="R398" s="190"/>
      <c r="S398" s="190"/>
      <c r="T398" s="188"/>
      <c r="U398" s="189"/>
      <c r="V398" s="190"/>
      <c r="W398" s="190"/>
      <c r="X398" s="188"/>
      <c r="Y398" s="189"/>
      <c r="Z398" s="190"/>
      <c r="AA398" s="190"/>
      <c r="AB398" s="188"/>
      <c r="AC398" s="189"/>
      <c r="AD398" s="190"/>
      <c r="AE398" s="190"/>
      <c r="AF398" s="188"/>
      <c r="AG398" s="189"/>
      <c r="AH398" s="190"/>
      <c r="AI398" s="190"/>
      <c r="AJ398" s="188"/>
      <c r="AK398" s="189"/>
      <c r="AL398" s="190"/>
      <c r="AM398" s="190"/>
      <c r="AN398" s="188"/>
      <c r="AO398" s="189"/>
      <c r="AP398" s="190"/>
      <c r="AQ398" s="190"/>
      <c r="AR398" s="202"/>
    </row>
    <row r="399" spans="1:44" ht="15">
      <c r="A399" s="205" t="s">
        <v>189</v>
      </c>
      <c r="C399" s="185">
        <v>56107000</v>
      </c>
      <c r="D399" s="185">
        <v>98054000</v>
      </c>
      <c r="E399" s="185">
        <v>656901520</v>
      </c>
      <c r="F399" s="185">
        <v>48466000</v>
      </c>
      <c r="G399" s="185">
        <v>41643000</v>
      </c>
      <c r="H399" s="185">
        <v>28435000</v>
      </c>
      <c r="I399" s="185">
        <v>13873000</v>
      </c>
      <c r="J399" s="185">
        <v>18389000</v>
      </c>
      <c r="K399" s="185">
        <v>13940000</v>
      </c>
      <c r="L399" s="185">
        <v>8274000</v>
      </c>
      <c r="M399" s="208">
        <v>7213924.058249938</v>
      </c>
      <c r="N399" s="208">
        <v>6295616.140073765</v>
      </c>
      <c r="O399" s="185">
        <f>SUM(C399:N399)</f>
        <v>997592060.1983237</v>
      </c>
      <c r="P399" s="270">
        <v>0.6427</v>
      </c>
      <c r="Q399" s="182">
        <f>+Q398*64.27%</f>
        <v>1094214829.304029</v>
      </c>
      <c r="R399" s="193"/>
      <c r="S399" s="193"/>
      <c r="T399" s="191"/>
      <c r="U399" s="192"/>
      <c r="V399" s="193"/>
      <c r="W399" s="193"/>
      <c r="X399" s="191"/>
      <c r="Y399" s="192"/>
      <c r="Z399" s="193"/>
      <c r="AA399" s="193"/>
      <c r="AB399" s="191"/>
      <c r="AC399" s="192"/>
      <c r="AD399" s="193"/>
      <c r="AE399" s="193"/>
      <c r="AF399" s="191"/>
      <c r="AG399" s="192"/>
      <c r="AH399" s="193"/>
      <c r="AI399" s="193"/>
      <c r="AJ399" s="191"/>
      <c r="AK399" s="192"/>
      <c r="AL399" s="193"/>
      <c r="AM399" s="193"/>
      <c r="AN399" s="191"/>
      <c r="AO399" s="192"/>
      <c r="AP399" s="194"/>
      <c r="AQ399" s="194"/>
      <c r="AR399" s="202"/>
    </row>
    <row r="400" spans="1:44" ht="15">
      <c r="A400" s="205" t="s">
        <v>190</v>
      </c>
      <c r="C400" s="185">
        <v>50540000</v>
      </c>
      <c r="D400" s="185">
        <v>79376000</v>
      </c>
      <c r="E400" s="185">
        <v>311799000</v>
      </c>
      <c r="F400" s="185">
        <v>28232000</v>
      </c>
      <c r="G400" s="185">
        <v>20138000</v>
      </c>
      <c r="H400" s="185">
        <v>13641000</v>
      </c>
      <c r="I400" s="185">
        <v>10583000</v>
      </c>
      <c r="J400" s="185">
        <v>9635400</v>
      </c>
      <c r="K400" s="185">
        <v>8051000</v>
      </c>
      <c r="L400" s="185">
        <v>5794000</v>
      </c>
      <c r="M400" s="208">
        <v>5478622.793164733</v>
      </c>
      <c r="N400" s="208">
        <v>4781193.349145425</v>
      </c>
      <c r="O400" s="185">
        <f aca="true" t="shared" si="271" ref="O400:O402">SUM(C400:N400)</f>
        <v>548049216.1423101</v>
      </c>
      <c r="P400" s="270">
        <f>+O400/O398</f>
        <v>0.35731252783053097</v>
      </c>
      <c r="Q400" s="182">
        <f>+Q398*35.73%</f>
        <v>608313300.9340744</v>
      </c>
      <c r="R400" s="193"/>
      <c r="S400" s="193"/>
      <c r="T400" s="191"/>
      <c r="U400" s="192"/>
      <c r="V400" s="193"/>
      <c r="W400" s="193"/>
      <c r="X400" s="191"/>
      <c r="Y400" s="192"/>
      <c r="Z400" s="193"/>
      <c r="AA400" s="193"/>
      <c r="AB400" s="191"/>
      <c r="AC400" s="192"/>
      <c r="AD400" s="193"/>
      <c r="AE400" s="193"/>
      <c r="AF400" s="191"/>
      <c r="AG400" s="192"/>
      <c r="AH400" s="193"/>
      <c r="AI400" s="193"/>
      <c r="AJ400" s="191"/>
      <c r="AK400" s="192"/>
      <c r="AL400" s="193"/>
      <c r="AM400" s="193"/>
      <c r="AN400" s="191"/>
      <c r="AO400" s="192"/>
      <c r="AP400" s="194"/>
      <c r="AQ400" s="194"/>
      <c r="AR400" s="202"/>
    </row>
    <row r="401" spans="1:44" ht="15">
      <c r="A401" s="205" t="s">
        <v>191</v>
      </c>
      <c r="C401" s="185">
        <v>0</v>
      </c>
      <c r="D401" s="185">
        <v>0</v>
      </c>
      <c r="E401" s="185">
        <v>0</v>
      </c>
      <c r="F401" s="185">
        <v>0</v>
      </c>
      <c r="G401" s="185">
        <v>0</v>
      </c>
      <c r="H401" s="185">
        <v>0</v>
      </c>
      <c r="I401" s="185">
        <v>0</v>
      </c>
      <c r="J401" s="185">
        <v>-13300</v>
      </c>
      <c r="K401" s="185">
        <v>0</v>
      </c>
      <c r="L401" s="185">
        <v>0</v>
      </c>
      <c r="M401" s="203">
        <v>0</v>
      </c>
      <c r="N401" s="203">
        <v>0</v>
      </c>
      <c r="O401" s="185">
        <f t="shared" si="271"/>
        <v>-13300</v>
      </c>
      <c r="P401" s="270">
        <f>+O401/O398</f>
        <v>-8.671222365022156E-06</v>
      </c>
      <c r="Q401" s="182">
        <f>+Q398*0%</f>
        <v>0</v>
      </c>
      <c r="R401" s="193"/>
      <c r="S401" s="193"/>
      <c r="T401" s="191"/>
      <c r="U401" s="192"/>
      <c r="V401" s="193"/>
      <c r="W401" s="193"/>
      <c r="X401" s="191"/>
      <c r="Y401" s="192"/>
      <c r="Z401" s="193"/>
      <c r="AA401" s="193"/>
      <c r="AB401" s="191"/>
      <c r="AC401" s="192"/>
      <c r="AD401" s="193"/>
      <c r="AE401" s="193"/>
      <c r="AF401" s="191"/>
      <c r="AG401" s="192"/>
      <c r="AH401" s="193"/>
      <c r="AI401" s="193"/>
      <c r="AJ401" s="191"/>
      <c r="AK401" s="192"/>
      <c r="AL401" s="193"/>
      <c r="AM401" s="193"/>
      <c r="AN401" s="191"/>
      <c r="AO401" s="192"/>
      <c r="AP401" s="192"/>
      <c r="AQ401" s="192"/>
      <c r="AR401" s="202"/>
    </row>
    <row r="402" spans="1:44" ht="15">
      <c r="A402" s="205" t="s">
        <v>291</v>
      </c>
      <c r="C402" s="185">
        <v>-865200</v>
      </c>
      <c r="D402" s="185">
        <v>-1443000</v>
      </c>
      <c r="E402" s="185">
        <v>-9510650</v>
      </c>
      <c r="F402" s="185">
        <v>0</v>
      </c>
      <c r="G402" s="185">
        <v>0</v>
      </c>
      <c r="H402" s="185">
        <v>0</v>
      </c>
      <c r="I402" s="185">
        <v>0</v>
      </c>
      <c r="J402" s="185">
        <v>0</v>
      </c>
      <c r="K402" s="185">
        <v>0</v>
      </c>
      <c r="L402" s="185">
        <v>0</v>
      </c>
      <c r="M402" s="203">
        <v>0</v>
      </c>
      <c r="N402" s="203">
        <v>0</v>
      </c>
      <c r="O402" s="185">
        <f t="shared" si="271"/>
        <v>-11818850</v>
      </c>
      <c r="P402" s="270">
        <f>+O402/O398</f>
        <v>-0.007705554620213694</v>
      </c>
      <c r="Q402" s="182">
        <f>+Q398*0%</f>
        <v>0</v>
      </c>
      <c r="R402" s="193"/>
      <c r="S402" s="193"/>
      <c r="T402" s="191"/>
      <c r="U402" s="192"/>
      <c r="V402" s="193"/>
      <c r="W402" s="193"/>
      <c r="X402" s="191"/>
      <c r="Y402" s="192"/>
      <c r="Z402" s="193"/>
      <c r="AA402" s="193"/>
      <c r="AB402" s="191"/>
      <c r="AC402" s="192"/>
      <c r="AD402" s="193"/>
      <c r="AE402" s="193"/>
      <c r="AF402" s="191"/>
      <c r="AG402" s="192"/>
      <c r="AH402" s="193"/>
      <c r="AI402" s="193"/>
      <c r="AJ402" s="191"/>
      <c r="AK402" s="192"/>
      <c r="AL402" s="193"/>
      <c r="AM402" s="193"/>
      <c r="AN402" s="191"/>
      <c r="AO402" s="192"/>
      <c r="AP402" s="192"/>
      <c r="AQ402" s="192"/>
      <c r="AR402" s="202"/>
    </row>
    <row r="404" spans="3:14" ht="15">
      <c r="C404" s="207">
        <f>+C398/$O$398</f>
        <v>0.06896673007310533</v>
      </c>
      <c r="D404" s="207">
        <f aca="true" t="shared" si="272" ref="D404:N404">+D398/$O$398</f>
        <v>0.11473852709422214</v>
      </c>
      <c r="E404" s="207">
        <f t="shared" si="272"/>
        <v>0.6253645603794508</v>
      </c>
      <c r="F404" s="207">
        <f t="shared" si="272"/>
        <v>0.05000491826710296</v>
      </c>
      <c r="G404" s="207">
        <f t="shared" si="272"/>
        <v>0.0402794578145439</v>
      </c>
      <c r="H404" s="207">
        <f t="shared" si="272"/>
        <v>0.027432357310576864</v>
      </c>
      <c r="I404" s="207">
        <f t="shared" si="272"/>
        <v>0.015944617605938488</v>
      </c>
      <c r="J404" s="207">
        <f t="shared" si="272"/>
        <v>0.018262441863824974</v>
      </c>
      <c r="K404" s="207">
        <f t="shared" si="272"/>
        <v>0.014337507596180622</v>
      </c>
      <c r="L404" s="207">
        <f t="shared" si="272"/>
        <v>0.009171936558731707</v>
      </c>
      <c r="M404" s="207">
        <f t="shared" si="272"/>
        <v>0.008275180159930711</v>
      </c>
      <c r="N404" s="207">
        <f t="shared" si="272"/>
        <v>0.00722176527639151</v>
      </c>
    </row>
    <row r="405" spans="3:14" ht="15">
      <c r="C405" s="206">
        <f>+C399/$O$399</f>
        <v>0.05624242838184357</v>
      </c>
      <c r="D405" s="206">
        <f aca="true" t="shared" si="273" ref="D405:N405">+D399/$O$399</f>
        <v>0.0982906780357761</v>
      </c>
      <c r="E405" s="206">
        <f t="shared" si="273"/>
        <v>0.658487117338731</v>
      </c>
      <c r="F405" s="206">
        <f t="shared" si="273"/>
        <v>0.04858298490303225</v>
      </c>
      <c r="G405" s="206">
        <f t="shared" si="273"/>
        <v>0.0417435158733333</v>
      </c>
      <c r="H405" s="206">
        <f t="shared" si="273"/>
        <v>0.028503635037298768</v>
      </c>
      <c r="I405" s="206">
        <f t="shared" si="273"/>
        <v>0.013906485981095333</v>
      </c>
      <c r="J405" s="206">
        <f t="shared" si="273"/>
        <v>0.018433386484996907</v>
      </c>
      <c r="K405" s="206">
        <f t="shared" si="273"/>
        <v>0.013973647702477398</v>
      </c>
      <c r="L405" s="206">
        <f t="shared" si="273"/>
        <v>0.008293971383809037</v>
      </c>
      <c r="M405" s="206">
        <f t="shared" si="273"/>
        <v>0.007231336681665041</v>
      </c>
      <c r="N405" s="206">
        <f t="shared" si="273"/>
        <v>0.006310812195941276</v>
      </c>
    </row>
    <row r="406" spans="3:14" ht="15">
      <c r="C406" s="206">
        <f>+C400/$O$400</f>
        <v>0.09221799522996936</v>
      </c>
      <c r="D406" s="206">
        <f aca="true" t="shared" si="274" ref="D406:N406">+D400/$O$400</f>
        <v>0.1448337077438474</v>
      </c>
      <c r="E406" s="206">
        <f t="shared" si="274"/>
        <v>0.5689251819293474</v>
      </c>
      <c r="F406" s="206">
        <f t="shared" si="274"/>
        <v>0.051513621712158585</v>
      </c>
      <c r="G406" s="206">
        <f t="shared" si="274"/>
        <v>0.03674487510765973</v>
      </c>
      <c r="H406" s="206">
        <f t="shared" si="274"/>
        <v>0.024890100374594618</v>
      </c>
      <c r="I406" s="206">
        <f t="shared" si="274"/>
        <v>0.019310309527478545</v>
      </c>
      <c r="J406" s="206">
        <f t="shared" si="274"/>
        <v>0.01758126773325775</v>
      </c>
      <c r="K406" s="206">
        <f t="shared" si="274"/>
        <v>0.014690286497753923</v>
      </c>
      <c r="L406" s="206">
        <f t="shared" si="274"/>
        <v>0.010572043220467797</v>
      </c>
      <c r="M406" s="206">
        <f t="shared" si="274"/>
        <v>0.00999658905039309</v>
      </c>
      <c r="N406" s="206">
        <f t="shared" si="274"/>
        <v>0.008724021873071903</v>
      </c>
    </row>
    <row r="407" spans="3:14" ht="15">
      <c r="C407" s="206">
        <f>+C401/$O$401</f>
        <v>0</v>
      </c>
      <c r="D407" s="206">
        <f aca="true" t="shared" si="275" ref="D407:N407">+D401/$O$401</f>
        <v>0</v>
      </c>
      <c r="E407" s="206">
        <f t="shared" si="275"/>
        <v>0</v>
      </c>
      <c r="F407" s="206">
        <f t="shared" si="275"/>
        <v>0</v>
      </c>
      <c r="G407" s="206">
        <f t="shared" si="275"/>
        <v>0</v>
      </c>
      <c r="H407" s="206">
        <f t="shared" si="275"/>
        <v>0</v>
      </c>
      <c r="I407" s="206">
        <f t="shared" si="275"/>
        <v>0</v>
      </c>
      <c r="J407" s="206">
        <f t="shared" si="275"/>
        <v>1</v>
      </c>
      <c r="K407" s="206">
        <f t="shared" si="275"/>
        <v>0</v>
      </c>
      <c r="L407" s="206">
        <f t="shared" si="275"/>
        <v>0</v>
      </c>
      <c r="M407" s="206">
        <f t="shared" si="275"/>
        <v>0</v>
      </c>
      <c r="N407" s="206">
        <f t="shared" si="275"/>
        <v>0</v>
      </c>
    </row>
    <row r="408" spans="3:14" ht="15">
      <c r="C408" s="206">
        <f>+C402/$O$402</f>
        <v>0.07320509186595989</v>
      </c>
      <c r="D408" s="206">
        <f aca="true" t="shared" si="276" ref="D408:N408">+D402/$O$402</f>
        <v>0.12209309704412866</v>
      </c>
      <c r="E408" s="206">
        <f t="shared" si="276"/>
        <v>0.8047018110899115</v>
      </c>
      <c r="F408" s="206">
        <f t="shared" si="276"/>
        <v>0</v>
      </c>
      <c r="G408" s="206">
        <f t="shared" si="276"/>
        <v>0</v>
      </c>
      <c r="H408" s="206">
        <f t="shared" si="276"/>
        <v>0</v>
      </c>
      <c r="I408" s="206">
        <f t="shared" si="276"/>
        <v>0</v>
      </c>
      <c r="J408" s="206">
        <f t="shared" si="276"/>
        <v>0</v>
      </c>
      <c r="K408" s="206">
        <f t="shared" si="276"/>
        <v>0</v>
      </c>
      <c r="L408" s="206">
        <f t="shared" si="276"/>
        <v>0</v>
      </c>
      <c r="M408" s="206">
        <f t="shared" si="276"/>
        <v>0</v>
      </c>
      <c r="N408" s="206">
        <f t="shared" si="276"/>
        <v>0</v>
      </c>
    </row>
    <row r="410" spans="1:17" ht="15">
      <c r="A410" s="204" t="s">
        <v>192</v>
      </c>
      <c r="C410" s="182">
        <f aca="true" t="shared" si="277" ref="C410:O410">SUM(C411:C421)</f>
        <v>4572600</v>
      </c>
      <c r="D410" s="182">
        <f t="shared" si="277"/>
        <v>5176000</v>
      </c>
      <c r="E410" s="182">
        <f t="shared" si="277"/>
        <v>9916900</v>
      </c>
      <c r="F410" s="182">
        <f t="shared" si="277"/>
        <v>3648200</v>
      </c>
      <c r="G410" s="182">
        <f t="shared" si="277"/>
        <v>3197800</v>
      </c>
      <c r="H410" s="182">
        <f t="shared" si="277"/>
        <v>4019100</v>
      </c>
      <c r="I410" s="182">
        <f t="shared" si="277"/>
        <v>3038700</v>
      </c>
      <c r="J410" s="182">
        <f t="shared" si="277"/>
        <v>2869400</v>
      </c>
      <c r="K410" s="182">
        <f t="shared" si="277"/>
        <v>4147000</v>
      </c>
      <c r="L410" s="184">
        <f t="shared" si="277"/>
        <v>4338900</v>
      </c>
      <c r="M410" s="184">
        <f t="shared" si="277"/>
        <v>2887095.065125002</v>
      </c>
      <c r="N410" s="183">
        <f t="shared" si="277"/>
        <v>2519647.8327300553</v>
      </c>
      <c r="O410" s="182">
        <f t="shared" si="277"/>
        <v>50331342.89785506</v>
      </c>
      <c r="Q410" s="182">
        <f>+O410*11%+O410</f>
        <v>55867790.61661912</v>
      </c>
    </row>
    <row r="411" spans="1:17" ht="15">
      <c r="A411" s="205" t="s">
        <v>475</v>
      </c>
      <c r="C411" s="185">
        <v>0</v>
      </c>
      <c r="D411" s="185">
        <v>0</v>
      </c>
      <c r="E411" s="185">
        <v>0</v>
      </c>
      <c r="F411" s="185">
        <v>0</v>
      </c>
      <c r="G411" s="185">
        <v>0</v>
      </c>
      <c r="H411" s="185">
        <v>0</v>
      </c>
      <c r="I411" s="185">
        <v>0</v>
      </c>
      <c r="J411" s="185">
        <v>0</v>
      </c>
      <c r="K411" s="185">
        <v>0</v>
      </c>
      <c r="L411" s="186">
        <v>180000</v>
      </c>
      <c r="M411" s="187">
        <v>86569.95726114651</v>
      </c>
      <c r="N411" s="200">
        <v>75551.96270063696</v>
      </c>
      <c r="O411" s="48">
        <f>SUM(C411:N411)</f>
        <v>342121.91996178345</v>
      </c>
      <c r="P411" s="195">
        <f>+O411/$O$410</f>
        <v>0.006797393041073884</v>
      </c>
      <c r="Q411" s="182">
        <f>Q410*0.9%</f>
        <v>502810.1155495721</v>
      </c>
    </row>
    <row r="412" spans="1:17" ht="15">
      <c r="A412" s="205" t="s">
        <v>193</v>
      </c>
      <c r="C412" s="185">
        <v>72000</v>
      </c>
      <c r="D412" s="185">
        <v>108000</v>
      </c>
      <c r="E412" s="185">
        <v>108000</v>
      </c>
      <c r="F412" s="185">
        <v>36000</v>
      </c>
      <c r="G412" s="185">
        <v>36000</v>
      </c>
      <c r="H412" s="185">
        <v>504000</v>
      </c>
      <c r="I412" s="185">
        <v>0</v>
      </c>
      <c r="J412" s="185">
        <v>0</v>
      </c>
      <c r="K412" s="185">
        <v>108000</v>
      </c>
      <c r="L412" s="186">
        <v>504000</v>
      </c>
      <c r="M412" s="187">
        <v>317309.31305084744</v>
      </c>
      <c r="N412" s="200">
        <v>276924.4913898305</v>
      </c>
      <c r="O412" s="48">
        <f aca="true" t="shared" si="278" ref="O412:O421">SUM(C412:N412)</f>
        <v>2070233.804440678</v>
      </c>
      <c r="P412" s="195">
        <f aca="true" t="shared" si="279" ref="P412:P421">+O412/$O$410</f>
        <v>0.041132099507897375</v>
      </c>
      <c r="Q412" s="182">
        <f>Q410*4.26%</f>
        <v>2379967.8802679745</v>
      </c>
    </row>
    <row r="413" spans="1:17" ht="15">
      <c r="A413" s="205" t="s">
        <v>194</v>
      </c>
      <c r="C413" s="185">
        <v>504000</v>
      </c>
      <c r="D413" s="185">
        <v>360000</v>
      </c>
      <c r="E413" s="185">
        <v>396000</v>
      </c>
      <c r="F413" s="185">
        <v>468000</v>
      </c>
      <c r="G413" s="185">
        <v>360000</v>
      </c>
      <c r="H413" s="185">
        <v>264000</v>
      </c>
      <c r="I413" s="185">
        <v>252000</v>
      </c>
      <c r="J413" s="185">
        <v>216000</v>
      </c>
      <c r="K413" s="185">
        <v>612000</v>
      </c>
      <c r="L413" s="186">
        <v>168000</v>
      </c>
      <c r="M413" s="187">
        <v>86594.91837016573</v>
      </c>
      <c r="N413" s="200">
        <v>75573.74694123554</v>
      </c>
      <c r="O413" s="48">
        <f t="shared" si="278"/>
        <v>3762168.6653114012</v>
      </c>
      <c r="P413" s="195">
        <f t="shared" si="279"/>
        <v>0.0747480287372132</v>
      </c>
      <c r="Q413" s="182">
        <f>Q410*6.85%</f>
        <v>3826943.657238409</v>
      </c>
    </row>
    <row r="414" spans="1:17" ht="15">
      <c r="A414" s="205" t="s">
        <v>195</v>
      </c>
      <c r="C414" s="185">
        <v>48000</v>
      </c>
      <c r="D414" s="185">
        <v>276000</v>
      </c>
      <c r="E414" s="185">
        <v>276000</v>
      </c>
      <c r="F414" s="185">
        <v>108000</v>
      </c>
      <c r="G414" s="185">
        <v>156000</v>
      </c>
      <c r="H414" s="185">
        <v>0</v>
      </c>
      <c r="I414" s="185">
        <v>84000</v>
      </c>
      <c r="J414" s="185">
        <v>96000</v>
      </c>
      <c r="K414" s="185">
        <v>324000</v>
      </c>
      <c r="L414" s="186">
        <v>0</v>
      </c>
      <c r="M414" s="187">
        <v>0</v>
      </c>
      <c r="N414" s="200">
        <v>0</v>
      </c>
      <c r="O414" s="48">
        <f t="shared" si="278"/>
        <v>1368000</v>
      </c>
      <c r="P414" s="195">
        <f t="shared" si="279"/>
        <v>0.027179882777542564</v>
      </c>
      <c r="Q414" s="182">
        <f>Q410*5.09%</f>
        <v>2843670.542385913</v>
      </c>
    </row>
    <row r="415" spans="1:17" ht="15">
      <c r="A415" s="205" t="s">
        <v>196</v>
      </c>
      <c r="C415" s="185">
        <v>2000</v>
      </c>
      <c r="D415" s="185">
        <v>0</v>
      </c>
      <c r="E415" s="185">
        <v>0</v>
      </c>
      <c r="F415" s="185">
        <v>0</v>
      </c>
      <c r="G415" s="185">
        <v>0</v>
      </c>
      <c r="H415" s="185">
        <v>0</v>
      </c>
      <c r="I415" s="185">
        <v>0</v>
      </c>
      <c r="J415" s="185">
        <v>0</v>
      </c>
      <c r="K415" s="185">
        <v>0</v>
      </c>
      <c r="L415" s="186">
        <v>0</v>
      </c>
      <c r="M415" s="187">
        <v>0</v>
      </c>
      <c r="N415" s="200">
        <v>0</v>
      </c>
      <c r="O415" s="48">
        <f t="shared" si="278"/>
        <v>2000</v>
      </c>
      <c r="P415" s="195">
        <f t="shared" si="279"/>
        <v>3.973667072740141E-05</v>
      </c>
      <c r="Q415" s="182">
        <f>Q410*0.06%</f>
        <v>33520.674369971464</v>
      </c>
    </row>
    <row r="416" spans="1:17" ht="15">
      <c r="A416" s="205" t="s">
        <v>197</v>
      </c>
      <c r="C416" s="185">
        <v>46000</v>
      </c>
      <c r="D416" s="185">
        <v>0</v>
      </c>
      <c r="E416" s="185">
        <v>0</v>
      </c>
      <c r="F416" s="185">
        <v>0</v>
      </c>
      <c r="G416" s="185">
        <v>0</v>
      </c>
      <c r="H416" s="185">
        <v>0</v>
      </c>
      <c r="I416" s="185">
        <v>0</v>
      </c>
      <c r="J416" s="185">
        <v>0</v>
      </c>
      <c r="K416" s="185">
        <v>0</v>
      </c>
      <c r="L416" s="186">
        <v>0</v>
      </c>
      <c r="M416" s="187">
        <v>0</v>
      </c>
      <c r="N416" s="200">
        <v>0</v>
      </c>
      <c r="O416" s="48">
        <f t="shared" si="278"/>
        <v>46000</v>
      </c>
      <c r="P416" s="195">
        <f t="shared" si="279"/>
        <v>0.0009139434267302325</v>
      </c>
      <c r="Q416" s="182">
        <f>Q410*0%</f>
        <v>0</v>
      </c>
    </row>
    <row r="417" spans="1:17" ht="15">
      <c r="A417" s="205" t="s">
        <v>198</v>
      </c>
      <c r="C417" s="185">
        <v>0</v>
      </c>
      <c r="D417" s="185">
        <v>46000</v>
      </c>
      <c r="E417" s="185">
        <v>0</v>
      </c>
      <c r="F417" s="185">
        <v>0</v>
      </c>
      <c r="G417" s="185">
        <v>0</v>
      </c>
      <c r="H417" s="185">
        <v>0</v>
      </c>
      <c r="I417" s="185">
        <v>0</v>
      </c>
      <c r="J417" s="185">
        <v>0</v>
      </c>
      <c r="K417" s="185">
        <v>0</v>
      </c>
      <c r="L417" s="186">
        <v>0</v>
      </c>
      <c r="M417" s="187">
        <v>0</v>
      </c>
      <c r="N417" s="200">
        <v>0</v>
      </c>
      <c r="O417" s="48">
        <f t="shared" si="278"/>
        <v>46000</v>
      </c>
      <c r="P417" s="195">
        <f t="shared" si="279"/>
        <v>0.0009139434267302325</v>
      </c>
      <c r="Q417" s="182">
        <f>Q410*0.08%</f>
        <v>44694.2324932953</v>
      </c>
    </row>
    <row r="418" spans="1:17" ht="15">
      <c r="A418" s="205" t="s">
        <v>199</v>
      </c>
      <c r="C418" s="185">
        <v>579900</v>
      </c>
      <c r="D418" s="185">
        <v>630500</v>
      </c>
      <c r="E418" s="185">
        <v>981000</v>
      </c>
      <c r="F418" s="185">
        <v>814800</v>
      </c>
      <c r="G418" s="185">
        <v>989400</v>
      </c>
      <c r="H418" s="185">
        <v>1105800</v>
      </c>
      <c r="I418" s="185">
        <v>1028200</v>
      </c>
      <c r="J418" s="185">
        <v>904900</v>
      </c>
      <c r="K418" s="185">
        <v>1093300</v>
      </c>
      <c r="L418" s="186">
        <v>1306700</v>
      </c>
      <c r="M418" s="187">
        <v>721490.9727797463</v>
      </c>
      <c r="N418" s="200">
        <v>630123.1203316561</v>
      </c>
      <c r="O418" s="48">
        <f t="shared" si="278"/>
        <v>10786114.093111403</v>
      </c>
      <c r="P418" s="195">
        <f t="shared" si="279"/>
        <v>0.21430213207307586</v>
      </c>
      <c r="Q418" s="182">
        <f>Q410*19.43%</f>
        <v>10855111.716809094</v>
      </c>
    </row>
    <row r="419" spans="1:17" ht="15">
      <c r="A419" s="205" t="s">
        <v>200</v>
      </c>
      <c r="C419" s="185">
        <v>3248700</v>
      </c>
      <c r="D419" s="185">
        <v>3683500</v>
      </c>
      <c r="E419" s="185">
        <v>7903900</v>
      </c>
      <c r="F419" s="185">
        <v>2113400</v>
      </c>
      <c r="G419" s="185">
        <v>1584400</v>
      </c>
      <c r="H419" s="185">
        <v>2073300</v>
      </c>
      <c r="I419" s="185">
        <v>1674500</v>
      </c>
      <c r="J419" s="185">
        <v>1580500</v>
      </c>
      <c r="K419" s="185">
        <v>1865700</v>
      </c>
      <c r="L419" s="186">
        <v>2144200</v>
      </c>
      <c r="M419" s="187">
        <v>1587565.0270566684</v>
      </c>
      <c r="N419" s="200">
        <v>1385969.4680653454</v>
      </c>
      <c r="O419" s="48">
        <f t="shared" si="278"/>
        <v>30845634.49512201</v>
      </c>
      <c r="P419" s="195">
        <f t="shared" si="279"/>
        <v>0.612851410655219</v>
      </c>
      <c r="Q419" s="182">
        <f>Q410*60.87%</f>
        <v>34006724.14833606</v>
      </c>
    </row>
    <row r="420" spans="1:17" ht="15">
      <c r="A420" s="205" t="s">
        <v>201</v>
      </c>
      <c r="C420" s="185">
        <v>0</v>
      </c>
      <c r="D420" s="185">
        <v>0</v>
      </c>
      <c r="E420" s="185">
        <v>0</v>
      </c>
      <c r="F420" s="185">
        <v>0</v>
      </c>
      <c r="G420" s="185"/>
      <c r="H420" s="185">
        <v>36000</v>
      </c>
      <c r="I420" s="185">
        <v>0</v>
      </c>
      <c r="J420" s="185">
        <v>0</v>
      </c>
      <c r="K420" s="185">
        <v>0</v>
      </c>
      <c r="L420" s="186">
        <v>0</v>
      </c>
      <c r="M420" s="187">
        <v>0</v>
      </c>
      <c r="N420" s="200">
        <v>0</v>
      </c>
      <c r="O420" s="48">
        <f t="shared" si="278"/>
        <v>36000</v>
      </c>
      <c r="P420" s="195">
        <f t="shared" si="279"/>
        <v>0.0007152600730932254</v>
      </c>
      <c r="Q420" s="182">
        <f>Q410*0%</f>
        <v>0</v>
      </c>
    </row>
    <row r="421" spans="1:17" ht="15">
      <c r="A421" s="205" t="s">
        <v>202</v>
      </c>
      <c r="C421" s="185">
        <v>72000</v>
      </c>
      <c r="D421" s="185">
        <v>72000</v>
      </c>
      <c r="E421" s="185">
        <v>252000</v>
      </c>
      <c r="F421" s="185">
        <v>108000</v>
      </c>
      <c r="G421" s="185">
        <v>72000</v>
      </c>
      <c r="H421" s="185">
        <v>36000</v>
      </c>
      <c r="I421" s="185">
        <v>0</v>
      </c>
      <c r="J421" s="185">
        <v>72000</v>
      </c>
      <c r="K421" s="185">
        <v>144000</v>
      </c>
      <c r="L421" s="186">
        <v>36000</v>
      </c>
      <c r="M421" s="187">
        <v>87564.87660642758</v>
      </c>
      <c r="N421" s="200">
        <v>75505.04330135073</v>
      </c>
      <c r="O421" s="48">
        <f t="shared" si="278"/>
        <v>1027069.9199077783</v>
      </c>
      <c r="P421" s="195">
        <f t="shared" si="279"/>
        <v>0.020406169610696964</v>
      </c>
      <c r="Q421" s="182">
        <f>Q410*2.46%</f>
        <v>1374347.6491688304</v>
      </c>
    </row>
    <row r="422" ht="15">
      <c r="Q422" s="40"/>
    </row>
    <row r="423" spans="3:14" ht="15">
      <c r="C423" s="207">
        <f aca="true" t="shared" si="280" ref="C423:N423">+C410/$O$410</f>
        <v>0.09084995028405785</v>
      </c>
      <c r="D423" s="207">
        <f t="shared" si="280"/>
        <v>0.10283850384251485</v>
      </c>
      <c r="E423" s="207">
        <f t="shared" si="280"/>
        <v>0.19703229496828353</v>
      </c>
      <c r="F423" s="207">
        <f t="shared" si="280"/>
        <v>0.07248366107385291</v>
      </c>
      <c r="G423" s="207">
        <f t="shared" si="280"/>
        <v>0.06353496282604211</v>
      </c>
      <c r="H423" s="207">
        <f t="shared" si="280"/>
        <v>0.07985282666024951</v>
      </c>
      <c r="I423" s="207">
        <f t="shared" si="280"/>
        <v>0.06037391066967733</v>
      </c>
      <c r="J423" s="207">
        <f t="shared" si="280"/>
        <v>0.0570102014926028</v>
      </c>
      <c r="K423" s="207">
        <f t="shared" si="280"/>
        <v>0.08239398675326683</v>
      </c>
      <c r="L423" s="207">
        <f t="shared" si="280"/>
        <v>0.08620672030956099</v>
      </c>
      <c r="M423" s="207">
        <f t="shared" si="280"/>
        <v>0.05736177298078887</v>
      </c>
      <c r="N423" s="207">
        <f t="shared" si="280"/>
        <v>0.0500612081391024</v>
      </c>
    </row>
    <row r="424" spans="3:14" ht="15">
      <c r="C424" s="206">
        <f aca="true" t="shared" si="281" ref="C424:N424">+C411/$O$411</f>
        <v>0</v>
      </c>
      <c r="D424" s="206">
        <f t="shared" si="281"/>
        <v>0</v>
      </c>
      <c r="E424" s="206">
        <f t="shared" si="281"/>
        <v>0</v>
      </c>
      <c r="F424" s="206">
        <f t="shared" si="281"/>
        <v>0</v>
      </c>
      <c r="G424" s="206">
        <f t="shared" si="281"/>
        <v>0</v>
      </c>
      <c r="H424" s="206">
        <f t="shared" si="281"/>
        <v>0</v>
      </c>
      <c r="I424" s="206">
        <f t="shared" si="281"/>
        <v>0</v>
      </c>
      <c r="J424" s="206">
        <f t="shared" si="281"/>
        <v>0</v>
      </c>
      <c r="K424" s="206">
        <f t="shared" si="281"/>
        <v>0</v>
      </c>
      <c r="L424" s="206">
        <f t="shared" si="281"/>
        <v>0.5261282294338427</v>
      </c>
      <c r="M424" s="206">
        <f t="shared" si="281"/>
        <v>0.25303832408872473</v>
      </c>
      <c r="N424" s="206">
        <f t="shared" si="281"/>
        <v>0.2208334464774325</v>
      </c>
    </row>
    <row r="425" spans="3:14" ht="15">
      <c r="C425" s="206">
        <f>+C412/$O$412</f>
        <v>0.03477868047829143</v>
      </c>
      <c r="D425" s="206">
        <f aca="true" t="shared" si="282" ref="D425:N425">+D412/$O$412</f>
        <v>0.05216802071743714</v>
      </c>
      <c r="E425" s="206">
        <f t="shared" si="282"/>
        <v>0.05216802071743714</v>
      </c>
      <c r="F425" s="206">
        <f t="shared" si="282"/>
        <v>0.017389340239145713</v>
      </c>
      <c r="G425" s="206">
        <f t="shared" si="282"/>
        <v>0.017389340239145713</v>
      </c>
      <c r="H425" s="206">
        <f t="shared" si="282"/>
        <v>0.24345076334803997</v>
      </c>
      <c r="I425" s="206">
        <f t="shared" si="282"/>
        <v>0</v>
      </c>
      <c r="J425" s="206">
        <f t="shared" si="282"/>
        <v>0</v>
      </c>
      <c r="K425" s="206">
        <f t="shared" si="282"/>
        <v>0.05216802071743714</v>
      </c>
      <c r="L425" s="206">
        <f t="shared" si="282"/>
        <v>0.24345076334803997</v>
      </c>
      <c r="M425" s="206">
        <f t="shared" si="282"/>
        <v>0.15327221126918847</v>
      </c>
      <c r="N425" s="206">
        <f t="shared" si="282"/>
        <v>0.1337648389258372</v>
      </c>
    </row>
    <row r="426" spans="3:14" ht="15">
      <c r="C426" s="206">
        <f>+C413/$O$413</f>
        <v>0.13396528567341173</v>
      </c>
      <c r="D426" s="206">
        <f aca="true" t="shared" si="283" ref="D426:N426">+D413/$O$413</f>
        <v>0.09568948976672266</v>
      </c>
      <c r="E426" s="206">
        <f t="shared" si="283"/>
        <v>0.10525843874339494</v>
      </c>
      <c r="F426" s="206">
        <f t="shared" si="283"/>
        <v>0.12439633669673947</v>
      </c>
      <c r="G426" s="206">
        <f t="shared" si="283"/>
        <v>0.09568948976672266</v>
      </c>
      <c r="H426" s="206">
        <f t="shared" si="283"/>
        <v>0.07017229249559662</v>
      </c>
      <c r="I426" s="206">
        <f t="shared" si="283"/>
        <v>0.06698264283670587</v>
      </c>
      <c r="J426" s="206">
        <f t="shared" si="283"/>
        <v>0.0574136938600336</v>
      </c>
      <c r="K426" s="206">
        <f t="shared" si="283"/>
        <v>0.16267213260342853</v>
      </c>
      <c r="L426" s="206">
        <f t="shared" si="283"/>
        <v>0.04465509522447058</v>
      </c>
      <c r="M426" s="206">
        <f t="shared" si="283"/>
        <v>0.02301728765342266</v>
      </c>
      <c r="N426" s="206">
        <f t="shared" si="283"/>
        <v>0.020087814679350686</v>
      </c>
    </row>
    <row r="427" spans="3:14" ht="15">
      <c r="C427" s="206">
        <f>+C414/$O$414</f>
        <v>0.03508771929824561</v>
      </c>
      <c r="D427" s="206">
        <f aca="true" t="shared" si="284" ref="D427:N427">+D414/$O$414</f>
        <v>0.20175438596491227</v>
      </c>
      <c r="E427" s="206">
        <f t="shared" si="284"/>
        <v>0.20175438596491227</v>
      </c>
      <c r="F427" s="206">
        <f t="shared" si="284"/>
        <v>0.07894736842105263</v>
      </c>
      <c r="G427" s="206">
        <f t="shared" si="284"/>
        <v>0.11403508771929824</v>
      </c>
      <c r="H427" s="206">
        <f t="shared" si="284"/>
        <v>0</v>
      </c>
      <c r="I427" s="206">
        <f t="shared" si="284"/>
        <v>0.06140350877192982</v>
      </c>
      <c r="J427" s="206">
        <f t="shared" si="284"/>
        <v>0.07017543859649122</v>
      </c>
      <c r="K427" s="206">
        <f t="shared" si="284"/>
        <v>0.23684210526315788</v>
      </c>
      <c r="L427" s="206">
        <f t="shared" si="284"/>
        <v>0</v>
      </c>
      <c r="M427" s="206">
        <f t="shared" si="284"/>
        <v>0</v>
      </c>
      <c r="N427" s="206">
        <f t="shared" si="284"/>
        <v>0</v>
      </c>
    </row>
    <row r="428" spans="3:14" ht="15">
      <c r="C428" s="206">
        <f>+C415/$O$415</f>
        <v>1</v>
      </c>
      <c r="D428" s="206">
        <f aca="true" t="shared" si="285" ref="D428:N428">+D415/$O$415</f>
        <v>0</v>
      </c>
      <c r="E428" s="206">
        <f t="shared" si="285"/>
        <v>0</v>
      </c>
      <c r="F428" s="206">
        <f t="shared" si="285"/>
        <v>0</v>
      </c>
      <c r="G428" s="206">
        <f t="shared" si="285"/>
        <v>0</v>
      </c>
      <c r="H428" s="206">
        <f t="shared" si="285"/>
        <v>0</v>
      </c>
      <c r="I428" s="206">
        <f t="shared" si="285"/>
        <v>0</v>
      </c>
      <c r="J428" s="206">
        <f t="shared" si="285"/>
        <v>0</v>
      </c>
      <c r="K428" s="206">
        <f t="shared" si="285"/>
        <v>0</v>
      </c>
      <c r="L428" s="206">
        <f t="shared" si="285"/>
        <v>0</v>
      </c>
      <c r="M428" s="206">
        <f t="shared" si="285"/>
        <v>0</v>
      </c>
      <c r="N428" s="206">
        <f t="shared" si="285"/>
        <v>0</v>
      </c>
    </row>
    <row r="429" spans="3:14" ht="15">
      <c r="C429" s="206">
        <v>0</v>
      </c>
      <c r="D429" s="206">
        <v>0</v>
      </c>
      <c r="E429" s="206">
        <v>0</v>
      </c>
      <c r="F429" s="206">
        <v>0</v>
      </c>
      <c r="G429" s="206">
        <v>0</v>
      </c>
      <c r="H429" s="206">
        <v>0</v>
      </c>
      <c r="I429" s="206">
        <v>0</v>
      </c>
      <c r="J429" s="206">
        <v>0</v>
      </c>
      <c r="K429" s="206">
        <v>0</v>
      </c>
      <c r="L429" s="206">
        <v>0</v>
      </c>
      <c r="M429" s="206">
        <v>0</v>
      </c>
      <c r="N429" s="206">
        <v>0</v>
      </c>
    </row>
    <row r="430" spans="3:14" ht="15">
      <c r="C430" s="206">
        <f>+C417/$O$417</f>
        <v>0</v>
      </c>
      <c r="D430" s="206">
        <f aca="true" t="shared" si="286" ref="D430:N430">+D417/$O$417</f>
        <v>1</v>
      </c>
      <c r="E430" s="206">
        <f t="shared" si="286"/>
        <v>0</v>
      </c>
      <c r="F430" s="206">
        <f t="shared" si="286"/>
        <v>0</v>
      </c>
      <c r="G430" s="206">
        <f t="shared" si="286"/>
        <v>0</v>
      </c>
      <c r="H430" s="206">
        <f t="shared" si="286"/>
        <v>0</v>
      </c>
      <c r="I430" s="206">
        <f t="shared" si="286"/>
        <v>0</v>
      </c>
      <c r="J430" s="206">
        <f t="shared" si="286"/>
        <v>0</v>
      </c>
      <c r="K430" s="206">
        <f t="shared" si="286"/>
        <v>0</v>
      </c>
      <c r="L430" s="206">
        <f t="shared" si="286"/>
        <v>0</v>
      </c>
      <c r="M430" s="206">
        <f t="shared" si="286"/>
        <v>0</v>
      </c>
      <c r="N430" s="206">
        <f t="shared" si="286"/>
        <v>0</v>
      </c>
    </row>
    <row r="431" spans="3:14" ht="15">
      <c r="C431" s="206">
        <f>+C418/$O$418</f>
        <v>0.053763569993233756</v>
      </c>
      <c r="D431" s="206">
        <f aca="true" t="shared" si="287" ref="D431:N431">+D418/$O$418</f>
        <v>0.05845478682658024</v>
      </c>
      <c r="E431" s="206">
        <f t="shared" si="287"/>
        <v>0.0909502710180416</v>
      </c>
      <c r="F431" s="206">
        <f t="shared" si="287"/>
        <v>0.07554157066819601</v>
      </c>
      <c r="G431" s="206">
        <f t="shared" si="287"/>
        <v>0.09172905009709516</v>
      </c>
      <c r="H431" s="206">
        <f t="shared" si="287"/>
        <v>0.10252070304969459</v>
      </c>
      <c r="I431" s="206">
        <f t="shared" si="287"/>
        <v>0.09532626774796163</v>
      </c>
      <c r="J431" s="206">
        <f t="shared" si="287"/>
        <v>0.08389490340899677</v>
      </c>
      <c r="K431" s="206">
        <f t="shared" si="287"/>
        <v>0.10136180561062678</v>
      </c>
      <c r="L431" s="206">
        <f t="shared" si="287"/>
        <v>0.1211465026903924</v>
      </c>
      <c r="M431" s="206">
        <f t="shared" si="287"/>
        <v>0.06689072325319917</v>
      </c>
      <c r="N431" s="206">
        <f t="shared" si="287"/>
        <v>0.05841984563598181</v>
      </c>
    </row>
    <row r="432" spans="3:14" ht="15">
      <c r="C432" s="206">
        <f>+C419/$O$419</f>
        <v>0.10532122464570329</v>
      </c>
      <c r="D432" s="206">
        <f aca="true" t="shared" si="288" ref="D432:N432">+D419/$O$419</f>
        <v>0.11941722257593747</v>
      </c>
      <c r="E432" s="206">
        <f t="shared" si="288"/>
        <v>0.25624047387483434</v>
      </c>
      <c r="F432" s="206">
        <f t="shared" si="288"/>
        <v>0.06851536804451915</v>
      </c>
      <c r="G432" s="206">
        <f t="shared" si="288"/>
        <v>0.05136545335939061</v>
      </c>
      <c r="H432" s="206">
        <f t="shared" si="288"/>
        <v>0.06721534615628917</v>
      </c>
      <c r="I432" s="206">
        <f t="shared" si="288"/>
        <v>0.054286450170600596</v>
      </c>
      <c r="J432" s="206">
        <f t="shared" si="288"/>
        <v>0.05123901731539818</v>
      </c>
      <c r="K432" s="206">
        <f t="shared" si="288"/>
        <v>0.06048505827607616</v>
      </c>
      <c r="L432" s="206">
        <f t="shared" si="288"/>
        <v>0.06951388859707483</v>
      </c>
      <c r="M432" s="206">
        <f t="shared" si="288"/>
        <v>0.05146806194917887</v>
      </c>
      <c r="N432" s="206">
        <f t="shared" si="288"/>
        <v>0.04493243503499743</v>
      </c>
    </row>
    <row r="433" spans="3:14" ht="15">
      <c r="C433" s="206">
        <v>0</v>
      </c>
      <c r="D433" s="206">
        <v>0</v>
      </c>
      <c r="E433" s="206">
        <v>0</v>
      </c>
      <c r="F433" s="206">
        <v>0</v>
      </c>
      <c r="G433" s="206">
        <v>0</v>
      </c>
      <c r="H433" s="206">
        <v>0</v>
      </c>
      <c r="I433" s="206">
        <v>0</v>
      </c>
      <c r="J433" s="206">
        <v>0</v>
      </c>
      <c r="K433" s="206">
        <v>0</v>
      </c>
      <c r="L433" s="206">
        <v>0</v>
      </c>
      <c r="M433" s="206">
        <v>0</v>
      </c>
      <c r="N433" s="206">
        <v>0</v>
      </c>
    </row>
    <row r="434" spans="3:14" ht="15">
      <c r="C434" s="206">
        <f>+C421/$O$421</f>
        <v>0.07010233539549572</v>
      </c>
      <c r="D434" s="206">
        <f aca="true" t="shared" si="289" ref="D434:N434">+D421/$O$421</f>
        <v>0.07010233539549572</v>
      </c>
      <c r="E434" s="206">
        <f t="shared" si="289"/>
        <v>0.24535817388423503</v>
      </c>
      <c r="F434" s="206">
        <f t="shared" si="289"/>
        <v>0.10515350309324357</v>
      </c>
      <c r="G434" s="206">
        <f t="shared" si="289"/>
        <v>0.07010233539549572</v>
      </c>
      <c r="H434" s="206">
        <f t="shared" si="289"/>
        <v>0.03505116769774786</v>
      </c>
      <c r="I434" s="206">
        <f t="shared" si="289"/>
        <v>0</v>
      </c>
      <c r="J434" s="206">
        <f t="shared" si="289"/>
        <v>0.07010233539549572</v>
      </c>
      <c r="K434" s="206">
        <f t="shared" si="289"/>
        <v>0.14020467079099144</v>
      </c>
      <c r="L434" s="206">
        <f t="shared" si="289"/>
        <v>0.03505116769774786</v>
      </c>
      <c r="M434" s="206">
        <f t="shared" si="289"/>
        <v>0.08525697706568033</v>
      </c>
      <c r="N434" s="206">
        <f t="shared" si="289"/>
        <v>0.07351499818837105</v>
      </c>
    </row>
    <row r="435" ht="15">
      <c r="C435" s="196"/>
    </row>
    <row r="436" spans="1:17" ht="15">
      <c r="A436" s="204" t="s">
        <v>203</v>
      </c>
      <c r="C436" s="182">
        <v>5361600</v>
      </c>
      <c r="D436" s="182">
        <v>7507200</v>
      </c>
      <c r="E436" s="182">
        <v>23534400</v>
      </c>
      <c r="F436" s="182">
        <v>3321600</v>
      </c>
      <c r="G436" s="182">
        <v>2524800</v>
      </c>
      <c r="H436" s="182">
        <v>2284800</v>
      </c>
      <c r="I436" s="182">
        <v>1828800</v>
      </c>
      <c r="J436" s="182">
        <v>1627200</v>
      </c>
      <c r="K436" s="182">
        <v>1473600</v>
      </c>
      <c r="L436" s="182">
        <v>1329600</v>
      </c>
      <c r="M436" s="210">
        <v>722400</v>
      </c>
      <c r="N436" s="210">
        <v>630000</v>
      </c>
      <c r="O436" s="48">
        <f>SUM(C436:N436)</f>
        <v>52146000</v>
      </c>
      <c r="Q436" s="211">
        <f>+O436*11%+O436</f>
        <v>57882060</v>
      </c>
    </row>
    <row r="437" ht="15">
      <c r="C437" s="190"/>
    </row>
    <row r="438" spans="3:14" ht="15">
      <c r="C438" s="206">
        <f>+C436/$O$436</f>
        <v>0.10281900816937062</v>
      </c>
      <c r="D438" s="206">
        <f aca="true" t="shared" si="290" ref="D438:N438">+D436/$O$436</f>
        <v>0.14396502128638822</v>
      </c>
      <c r="E438" s="206">
        <f t="shared" si="290"/>
        <v>0.4513174548383385</v>
      </c>
      <c r="F438" s="206">
        <f t="shared" si="290"/>
        <v>0.06369807847198251</v>
      </c>
      <c r="G438" s="206">
        <f t="shared" si="290"/>
        <v>0.04841790357841445</v>
      </c>
      <c r="H438" s="206">
        <f t="shared" si="290"/>
        <v>0.04381544126107467</v>
      </c>
      <c r="I438" s="206">
        <f t="shared" si="290"/>
        <v>0.0350707628581291</v>
      </c>
      <c r="J438" s="206">
        <f t="shared" si="290"/>
        <v>0.031204694511563685</v>
      </c>
      <c r="K438" s="206">
        <f t="shared" si="290"/>
        <v>0.02825911862846623</v>
      </c>
      <c r="L438" s="206">
        <f t="shared" si="290"/>
        <v>0.025497641238062363</v>
      </c>
      <c r="M438" s="206">
        <f t="shared" si="290"/>
        <v>0.013853411575192728</v>
      </c>
      <c r="N438" s="206">
        <f t="shared" si="290"/>
        <v>0.012081463583016915</v>
      </c>
    </row>
    <row r="440" spans="1:17" ht="15">
      <c r="A440" s="204" t="s">
        <v>205</v>
      </c>
      <c r="C440" s="182">
        <f aca="true" t="shared" si="291" ref="C440:O440">SUM(C441:C444)</f>
        <v>8527200</v>
      </c>
      <c r="D440" s="182">
        <f t="shared" si="291"/>
        <v>9964800</v>
      </c>
      <c r="E440" s="182">
        <f t="shared" si="291"/>
        <v>17265600</v>
      </c>
      <c r="F440" s="182">
        <f t="shared" si="291"/>
        <v>7161600</v>
      </c>
      <c r="G440" s="182">
        <f t="shared" si="291"/>
        <v>6828000</v>
      </c>
      <c r="H440" s="182">
        <f t="shared" si="291"/>
        <v>7161600</v>
      </c>
      <c r="I440" s="182">
        <f t="shared" si="291"/>
        <v>6340800</v>
      </c>
      <c r="J440" s="182">
        <f t="shared" si="291"/>
        <v>7051200</v>
      </c>
      <c r="K440" s="182">
        <f t="shared" si="291"/>
        <v>7003200</v>
      </c>
      <c r="L440" s="184">
        <f t="shared" si="291"/>
        <v>6676800</v>
      </c>
      <c r="M440" s="184">
        <f t="shared" si="291"/>
        <v>3500000.1521671982</v>
      </c>
      <c r="N440" s="183">
        <f t="shared" si="291"/>
        <v>3500000.1521671982</v>
      </c>
      <c r="O440" s="182">
        <f t="shared" si="291"/>
        <v>90980800.30433439</v>
      </c>
      <c r="Q440" s="182">
        <f>+O440*11%+O440</f>
        <v>100988688.33781117</v>
      </c>
    </row>
    <row r="441" spans="1:17" ht="15">
      <c r="A441" s="205" t="s">
        <v>206</v>
      </c>
      <c r="C441" s="185">
        <v>5220000</v>
      </c>
      <c r="D441" s="185">
        <v>6187200</v>
      </c>
      <c r="E441" s="185">
        <v>12602400</v>
      </c>
      <c r="F441" s="185">
        <v>3904800</v>
      </c>
      <c r="G441" s="185">
        <v>3444000</v>
      </c>
      <c r="H441" s="185">
        <v>3724800</v>
      </c>
      <c r="I441" s="185">
        <v>3494400</v>
      </c>
      <c r="J441" s="185">
        <v>3681600</v>
      </c>
      <c r="K441" s="185">
        <v>3844800</v>
      </c>
      <c r="L441" s="186">
        <v>3513600</v>
      </c>
      <c r="M441" s="187">
        <f>1600000+146929</f>
        <v>1746929</v>
      </c>
      <c r="N441" s="187">
        <f>1600000+146929</f>
        <v>1746929</v>
      </c>
      <c r="O441" s="48">
        <f>SUM(C441:N441)</f>
        <v>53111458</v>
      </c>
      <c r="P441" s="195">
        <f>+O441/O440</f>
        <v>0.583765561770616</v>
      </c>
      <c r="Q441" s="182">
        <f>+Q440*55.44%</f>
        <v>55988128.81448252</v>
      </c>
    </row>
    <row r="442" spans="1:17" ht="15">
      <c r="A442" s="205" t="s">
        <v>207</v>
      </c>
      <c r="C442" s="185">
        <v>2947200</v>
      </c>
      <c r="D442" s="185">
        <v>3441600</v>
      </c>
      <c r="E442" s="185">
        <v>4142400</v>
      </c>
      <c r="F442" s="185">
        <v>2865600</v>
      </c>
      <c r="G442" s="185">
        <v>3100800</v>
      </c>
      <c r="H442" s="185">
        <v>3100800</v>
      </c>
      <c r="I442" s="185">
        <v>2544000</v>
      </c>
      <c r="J442" s="185">
        <v>3153600</v>
      </c>
      <c r="K442" s="185">
        <v>2827200</v>
      </c>
      <c r="L442" s="186">
        <v>2870400</v>
      </c>
      <c r="M442" s="187">
        <v>1500000</v>
      </c>
      <c r="N442" s="187">
        <v>1500000</v>
      </c>
      <c r="O442" s="48">
        <f aca="true" t="shared" si="292" ref="O442:O444">SUM(C442:N442)</f>
        <v>33993600</v>
      </c>
      <c r="P442" s="195">
        <f>+O442/O440</f>
        <v>0.37363487555934943</v>
      </c>
      <c r="Q442" s="182">
        <f>+Q440*41.19%</f>
        <v>41597240.72634442</v>
      </c>
    </row>
    <row r="443" spans="1:17" ht="15">
      <c r="A443" s="205" t="s">
        <v>208</v>
      </c>
      <c r="C443" s="185">
        <v>81600</v>
      </c>
      <c r="D443" s="185"/>
      <c r="E443" s="185">
        <v>69600</v>
      </c>
      <c r="F443" s="185">
        <v>117600</v>
      </c>
      <c r="G443" s="185">
        <v>14400</v>
      </c>
      <c r="H443" s="185">
        <v>14400</v>
      </c>
      <c r="I443" s="185">
        <v>4800</v>
      </c>
      <c r="J443" s="185">
        <v>0</v>
      </c>
      <c r="K443" s="185">
        <v>9600</v>
      </c>
      <c r="L443" s="186">
        <v>24000</v>
      </c>
      <c r="M443" s="187">
        <v>4656.771000000001</v>
      </c>
      <c r="N443" s="187">
        <v>4656.771000000001</v>
      </c>
      <c r="O443" s="48">
        <f t="shared" si="292"/>
        <v>345313.542</v>
      </c>
      <c r="P443" s="195">
        <f>+O443/O440</f>
        <v>0.0037954550943156413</v>
      </c>
      <c r="Q443" s="182">
        <f>+Q440*0.1%</f>
        <v>100988.68833781117</v>
      </c>
    </row>
    <row r="444" spans="1:17" ht="15">
      <c r="A444" s="205" t="s">
        <v>209</v>
      </c>
      <c r="C444" s="185">
        <v>278400</v>
      </c>
      <c r="D444" s="185">
        <v>336000</v>
      </c>
      <c r="E444" s="185">
        <v>451200</v>
      </c>
      <c r="F444" s="185">
        <v>273600</v>
      </c>
      <c r="G444" s="185">
        <v>268800</v>
      </c>
      <c r="H444" s="185">
        <v>321600</v>
      </c>
      <c r="I444" s="185">
        <v>297600</v>
      </c>
      <c r="J444" s="185">
        <v>216000</v>
      </c>
      <c r="K444" s="185">
        <v>321600</v>
      </c>
      <c r="L444" s="186">
        <v>268800</v>
      </c>
      <c r="M444" s="187">
        <v>248414.38116719798</v>
      </c>
      <c r="N444" s="187">
        <v>248414.38116719798</v>
      </c>
      <c r="O444" s="48">
        <f t="shared" si="292"/>
        <v>3530428.762334396</v>
      </c>
      <c r="P444" s="195">
        <f>+O444/O440</f>
        <v>0.03880410757571896</v>
      </c>
      <c r="Q444" s="182">
        <f>+Q440*3.27%</f>
        <v>3302330.1086464254</v>
      </c>
    </row>
    <row r="446" spans="3:14" ht="15">
      <c r="C446" s="207">
        <f>+C440/$O$440</f>
        <v>0.0937252691938978</v>
      </c>
      <c r="D446" s="207">
        <f aca="true" t="shared" si="293" ref="D446:N446">+D440/$O$440</f>
        <v>0.1095264052049152</v>
      </c>
      <c r="E446" s="207">
        <f t="shared" si="293"/>
        <v>0.1897719072842389</v>
      </c>
      <c r="F446" s="207">
        <f t="shared" si="293"/>
        <v>0.07871550894303155</v>
      </c>
      <c r="G446" s="207">
        <f t="shared" si="293"/>
        <v>0.07504880125433135</v>
      </c>
      <c r="H446" s="207">
        <f t="shared" si="293"/>
        <v>0.07871550894303155</v>
      </c>
      <c r="I446" s="207">
        <f t="shared" si="293"/>
        <v>0.06969382527730876</v>
      </c>
      <c r="J446" s="207">
        <f t="shared" si="293"/>
        <v>0.07750206611079982</v>
      </c>
      <c r="K446" s="207">
        <f t="shared" si="293"/>
        <v>0.07697448227069907</v>
      </c>
      <c r="L446" s="207">
        <f t="shared" si="293"/>
        <v>0.07338691215801399</v>
      </c>
      <c r="M446" s="207">
        <f t="shared" si="293"/>
        <v>0.03846965667986607</v>
      </c>
      <c r="N446" s="207">
        <f t="shared" si="293"/>
        <v>0.03846965667986607</v>
      </c>
    </row>
    <row r="447" spans="3:14" ht="15">
      <c r="C447" s="206">
        <f>+C441/$O$441</f>
        <v>0.09828387689902995</v>
      </c>
      <c r="D447" s="206">
        <f aca="true" t="shared" si="294" ref="D447:N447">+D441/$O$441</f>
        <v>0.11649463661871229</v>
      </c>
      <c r="E447" s="206">
        <f t="shared" si="294"/>
        <v>0.2372821322284167</v>
      </c>
      <c r="F447" s="206">
        <f t="shared" si="294"/>
        <v>0.0735208587194123</v>
      </c>
      <c r="G447" s="206">
        <f t="shared" si="294"/>
        <v>0.06484476475867035</v>
      </c>
      <c r="H447" s="206">
        <f t="shared" si="294"/>
        <v>0.07013175951599747</v>
      </c>
      <c r="I447" s="206">
        <f t="shared" si="294"/>
        <v>0.06579371253562649</v>
      </c>
      <c r="J447" s="206">
        <f t="shared" si="294"/>
        <v>0.06931837570717791</v>
      </c>
      <c r="K447" s="206">
        <f t="shared" si="294"/>
        <v>0.07239115898494068</v>
      </c>
      <c r="L447" s="206">
        <f t="shared" si="294"/>
        <v>0.0661552164506574</v>
      </c>
      <c r="M447" s="206">
        <f t="shared" si="294"/>
        <v>0.03289175379067922</v>
      </c>
      <c r="N447" s="206">
        <f t="shared" si="294"/>
        <v>0.03289175379067922</v>
      </c>
    </row>
    <row r="448" spans="3:14" ht="15">
      <c r="C448" s="206">
        <f>+C442/$O$442</f>
        <v>0.08669867269133014</v>
      </c>
      <c r="D448" s="206">
        <f aca="true" t="shared" si="295" ref="D448:N448">+D442/$O$442</f>
        <v>0.10124258683987575</v>
      </c>
      <c r="E448" s="206">
        <f t="shared" si="295"/>
        <v>0.12185823213781417</v>
      </c>
      <c r="F448" s="206">
        <f t="shared" si="295"/>
        <v>0.08429822084157018</v>
      </c>
      <c r="G448" s="206">
        <f t="shared" si="295"/>
        <v>0.09121717029087828</v>
      </c>
      <c r="H448" s="206">
        <f t="shared" si="295"/>
        <v>0.09121717029087828</v>
      </c>
      <c r="I448" s="206">
        <f t="shared" si="295"/>
        <v>0.07483761649251623</v>
      </c>
      <c r="J448" s="206">
        <f t="shared" si="295"/>
        <v>0.09277040384072296</v>
      </c>
      <c r="K448" s="206">
        <f t="shared" si="295"/>
        <v>0.08316859644168315</v>
      </c>
      <c r="L448" s="206">
        <f t="shared" si="295"/>
        <v>0.08443942389155605</v>
      </c>
      <c r="M448" s="206">
        <f t="shared" si="295"/>
        <v>0.044125953120587404</v>
      </c>
      <c r="N448" s="206">
        <f t="shared" si="295"/>
        <v>0.044125953120587404</v>
      </c>
    </row>
    <row r="449" spans="3:14" ht="15">
      <c r="C449" s="206">
        <f>+C443/$O$443</f>
        <v>0.23630697923801666</v>
      </c>
      <c r="D449" s="206">
        <f aca="true" t="shared" si="296" ref="D449:N449">+D443/$O$443</f>
        <v>0</v>
      </c>
      <c r="E449" s="206">
        <f t="shared" si="296"/>
        <v>0.2015559528794848</v>
      </c>
      <c r="F449" s="206">
        <f t="shared" si="296"/>
        <v>0.34056005831361225</v>
      </c>
      <c r="G449" s="206">
        <f t="shared" si="296"/>
        <v>0.041701231630238235</v>
      </c>
      <c r="H449" s="206">
        <f t="shared" si="296"/>
        <v>0.041701231630238235</v>
      </c>
      <c r="I449" s="206">
        <f t="shared" si="296"/>
        <v>0.013900410543412746</v>
      </c>
      <c r="J449" s="206">
        <f t="shared" si="296"/>
        <v>0</v>
      </c>
      <c r="K449" s="206">
        <f t="shared" si="296"/>
        <v>0.02780082108682549</v>
      </c>
      <c r="L449" s="206">
        <f t="shared" si="296"/>
        <v>0.06950205271706372</v>
      </c>
      <c r="M449" s="206">
        <f t="shared" si="296"/>
        <v>0.0134856309805539</v>
      </c>
      <c r="N449" s="206">
        <f t="shared" si="296"/>
        <v>0.0134856309805539</v>
      </c>
    </row>
    <row r="450" spans="3:14" ht="15">
      <c r="C450" s="206">
        <f>+C444/$O$444</f>
        <v>0.07885727732852366</v>
      </c>
      <c r="D450" s="206">
        <f aca="true" t="shared" si="297" ref="D450:N450">+D444/$O$444</f>
        <v>0.09517257608614924</v>
      </c>
      <c r="E450" s="206">
        <f t="shared" si="297"/>
        <v>0.1278031736014004</v>
      </c>
      <c r="F450" s="206">
        <f t="shared" si="297"/>
        <v>0.07749766909872152</v>
      </c>
      <c r="G450" s="206">
        <f t="shared" si="297"/>
        <v>0.07613806086891939</v>
      </c>
      <c r="H450" s="206">
        <f t="shared" si="297"/>
        <v>0.09109375139674285</v>
      </c>
      <c r="I450" s="206">
        <f t="shared" si="297"/>
        <v>0.08429571024773218</v>
      </c>
      <c r="J450" s="206">
        <f t="shared" si="297"/>
        <v>0.061182370341095936</v>
      </c>
      <c r="K450" s="206">
        <f t="shared" si="297"/>
        <v>0.09109375139674285</v>
      </c>
      <c r="L450" s="206">
        <f t="shared" si="297"/>
        <v>0.07613806086891939</v>
      </c>
      <c r="M450" s="206">
        <f t="shared" si="297"/>
        <v>0.07036379938252628</v>
      </c>
      <c r="N450" s="206">
        <f t="shared" si="297"/>
        <v>0.07036379938252628</v>
      </c>
    </row>
    <row r="452" spans="1:17" ht="15">
      <c r="A452" s="204" t="s">
        <v>210</v>
      </c>
      <c r="C452" s="210">
        <v>4400</v>
      </c>
      <c r="D452" s="210">
        <v>0</v>
      </c>
      <c r="E452" s="210">
        <v>26400</v>
      </c>
      <c r="F452" s="210">
        <v>0</v>
      </c>
      <c r="G452" s="210">
        <v>0</v>
      </c>
      <c r="H452" s="210">
        <v>0</v>
      </c>
      <c r="I452" s="210">
        <v>0</v>
      </c>
      <c r="J452" s="210">
        <v>0</v>
      </c>
      <c r="K452" s="210">
        <v>4400</v>
      </c>
      <c r="L452" s="210">
        <v>0</v>
      </c>
      <c r="M452" s="210">
        <v>0</v>
      </c>
      <c r="N452" s="210">
        <v>0</v>
      </c>
      <c r="O452" s="48">
        <f aca="true" t="shared" si="298" ref="O452">SUM(C452:N452)</f>
        <v>35200</v>
      </c>
      <c r="Q452" s="182">
        <f>+O452*11%+O452</f>
        <v>39072</v>
      </c>
    </row>
    <row r="454" spans="1:17" ht="15">
      <c r="A454" s="204" t="s">
        <v>212</v>
      </c>
      <c r="C454" s="182">
        <f aca="true" t="shared" si="299" ref="C454:O454">SUM(C455:C458)</f>
        <v>1496000</v>
      </c>
      <c r="D454" s="182">
        <f t="shared" si="299"/>
        <v>1732000</v>
      </c>
      <c r="E454" s="182">
        <f t="shared" si="299"/>
        <v>10798000</v>
      </c>
      <c r="F454" s="182">
        <f t="shared" si="299"/>
        <v>23194000</v>
      </c>
      <c r="G454" s="182">
        <f t="shared" si="299"/>
        <v>5830000</v>
      </c>
      <c r="H454" s="182">
        <f t="shared" si="299"/>
        <v>4539000</v>
      </c>
      <c r="I454" s="182">
        <f t="shared" si="299"/>
        <v>4549000</v>
      </c>
      <c r="J454" s="182">
        <f t="shared" si="299"/>
        <v>2531000</v>
      </c>
      <c r="K454" s="182">
        <f t="shared" si="299"/>
        <v>4283000</v>
      </c>
      <c r="L454" s="182">
        <f t="shared" si="299"/>
        <v>1660000</v>
      </c>
      <c r="M454" s="182">
        <f t="shared" si="299"/>
        <v>1500000</v>
      </c>
      <c r="N454" s="182">
        <f t="shared" si="299"/>
        <v>1500000</v>
      </c>
      <c r="O454" s="182">
        <f t="shared" si="299"/>
        <v>63612000</v>
      </c>
      <c r="Q454" s="182">
        <f>+O454*11%+O454</f>
        <v>70609320</v>
      </c>
    </row>
    <row r="455" spans="1:17" ht="15">
      <c r="A455" s="205" t="s">
        <v>213</v>
      </c>
      <c r="C455" s="185">
        <v>922000</v>
      </c>
      <c r="D455" s="185">
        <v>0</v>
      </c>
      <c r="E455" s="185">
        <v>3227000</v>
      </c>
      <c r="F455" s="185">
        <v>7837000</v>
      </c>
      <c r="G455" s="185">
        <v>4149000</v>
      </c>
      <c r="H455" s="185">
        <v>3227000</v>
      </c>
      <c r="I455" s="185">
        <v>3688000</v>
      </c>
      <c r="J455" s="185">
        <v>1383000</v>
      </c>
      <c r="K455" s="185">
        <v>2766000</v>
      </c>
      <c r="L455" s="185">
        <v>922000</v>
      </c>
      <c r="M455" s="208">
        <v>900000</v>
      </c>
      <c r="N455" s="208">
        <v>900000</v>
      </c>
      <c r="O455" s="208">
        <f>SUM(C455:N455)</f>
        <v>29921000</v>
      </c>
      <c r="P455" s="196">
        <f>+O455/O454</f>
        <v>0.47036722630950134</v>
      </c>
      <c r="Q455" s="182">
        <f>+Q454*41%</f>
        <v>28949821.2</v>
      </c>
    </row>
    <row r="456" spans="1:17" ht="15">
      <c r="A456" s="205" t="s">
        <v>214</v>
      </c>
      <c r="C456" s="185">
        <v>0</v>
      </c>
      <c r="D456" s="185">
        <v>461000</v>
      </c>
      <c r="E456" s="185">
        <v>6915000</v>
      </c>
      <c r="F456" s="185">
        <v>14291000</v>
      </c>
      <c r="G456" s="185">
        <v>0</v>
      </c>
      <c r="H456" s="185">
        <v>0</v>
      </c>
      <c r="I456" s="185">
        <v>0</v>
      </c>
      <c r="J456" s="185">
        <v>0</v>
      </c>
      <c r="K456" s="185">
        <v>0</v>
      </c>
      <c r="L456" s="185">
        <v>0</v>
      </c>
      <c r="M456" s="208"/>
      <c r="N456" s="208"/>
      <c r="O456" s="208">
        <f aca="true" t="shared" si="300" ref="O456:O458">SUM(C456:N456)</f>
        <v>21667000</v>
      </c>
      <c r="P456" s="196">
        <f>+O456/O454</f>
        <v>0.340611834245111</v>
      </c>
      <c r="Q456" s="182">
        <f>+Q454*30%</f>
        <v>21182796</v>
      </c>
    </row>
    <row r="457" spans="1:17" ht="15">
      <c r="A457" s="205" t="s">
        <v>215</v>
      </c>
      <c r="C457" s="185">
        <v>0</v>
      </c>
      <c r="D457" s="185">
        <v>492000</v>
      </c>
      <c r="E457" s="185">
        <v>0</v>
      </c>
      <c r="F457" s="185">
        <v>0</v>
      </c>
      <c r="G457" s="185">
        <v>246000</v>
      </c>
      <c r="H457" s="185">
        <v>246000</v>
      </c>
      <c r="I457" s="185">
        <v>0</v>
      </c>
      <c r="J457" s="185">
        <v>492000</v>
      </c>
      <c r="K457" s="185">
        <v>246000</v>
      </c>
      <c r="L457" s="185">
        <v>0</v>
      </c>
      <c r="M457" s="208">
        <v>0</v>
      </c>
      <c r="N457" s="208">
        <v>0</v>
      </c>
      <c r="O457" s="208">
        <f t="shared" si="300"/>
        <v>1722000</v>
      </c>
      <c r="P457" s="196">
        <f>+O457/O454</f>
        <v>0.02707036408224863</v>
      </c>
      <c r="Q457" s="182">
        <f>+Q454*5%</f>
        <v>3530466</v>
      </c>
    </row>
    <row r="458" spans="1:17" ht="15">
      <c r="A458" s="205" t="s">
        <v>216</v>
      </c>
      <c r="C458" s="185">
        <v>574000</v>
      </c>
      <c r="D458" s="185">
        <v>779000</v>
      </c>
      <c r="E458" s="185">
        <v>656000</v>
      </c>
      <c r="F458" s="185">
        <v>1066000</v>
      </c>
      <c r="G458" s="185">
        <v>1435000</v>
      </c>
      <c r="H458" s="185">
        <v>1066000</v>
      </c>
      <c r="I458" s="185">
        <v>861000</v>
      </c>
      <c r="J458" s="185">
        <v>656000</v>
      </c>
      <c r="K458" s="185">
        <v>1271000</v>
      </c>
      <c r="L458" s="185">
        <v>738000</v>
      </c>
      <c r="M458" s="208">
        <v>600000</v>
      </c>
      <c r="N458" s="208">
        <v>600000</v>
      </c>
      <c r="O458" s="208">
        <f t="shared" si="300"/>
        <v>10302000</v>
      </c>
      <c r="P458" s="196">
        <f>+O458/O454</f>
        <v>0.16195057536313903</v>
      </c>
      <c r="Q458" s="182">
        <f>+Q454*24%</f>
        <v>16946236.8</v>
      </c>
    </row>
    <row r="460" spans="3:14" ht="15">
      <c r="C460" s="206">
        <f>+C455/$O$455</f>
        <v>0.03081447812573109</v>
      </c>
      <c r="D460" s="206">
        <f aca="true" t="shared" si="301" ref="D460:N460">+D455/$O$455</f>
        <v>0</v>
      </c>
      <c r="E460" s="206">
        <f t="shared" si="301"/>
        <v>0.10785067344005882</v>
      </c>
      <c r="F460" s="206">
        <f t="shared" si="301"/>
        <v>0.2619230640687143</v>
      </c>
      <c r="G460" s="206">
        <f t="shared" si="301"/>
        <v>0.1386651515657899</v>
      </c>
      <c r="H460" s="206">
        <f t="shared" si="301"/>
        <v>0.10785067344005882</v>
      </c>
      <c r="I460" s="206">
        <f t="shared" si="301"/>
        <v>0.12325791250292437</v>
      </c>
      <c r="J460" s="206">
        <f t="shared" si="301"/>
        <v>0.04622171718859664</v>
      </c>
      <c r="K460" s="206">
        <f t="shared" si="301"/>
        <v>0.09244343437719328</v>
      </c>
      <c r="L460" s="206">
        <f t="shared" si="301"/>
        <v>0.03081447812573109</v>
      </c>
      <c r="M460" s="206">
        <f t="shared" si="301"/>
        <v>0.03007920858260085</v>
      </c>
      <c r="N460" s="206">
        <f t="shared" si="301"/>
        <v>0.03007920858260085</v>
      </c>
    </row>
    <row r="461" spans="3:14" ht="15">
      <c r="C461" s="206">
        <f>+C456/$O$456</f>
        <v>0</v>
      </c>
      <c r="D461" s="206">
        <f aca="true" t="shared" si="302" ref="D461:N461">+D456/$O$456</f>
        <v>0.02127659574468085</v>
      </c>
      <c r="E461" s="206">
        <f t="shared" si="302"/>
        <v>0.3191489361702128</v>
      </c>
      <c r="F461" s="206">
        <f t="shared" si="302"/>
        <v>0.6595744680851063</v>
      </c>
      <c r="G461" s="206">
        <f t="shared" si="302"/>
        <v>0</v>
      </c>
      <c r="H461" s="206">
        <f t="shared" si="302"/>
        <v>0</v>
      </c>
      <c r="I461" s="206">
        <f t="shared" si="302"/>
        <v>0</v>
      </c>
      <c r="J461" s="206">
        <f t="shared" si="302"/>
        <v>0</v>
      </c>
      <c r="K461" s="206">
        <f t="shared" si="302"/>
        <v>0</v>
      </c>
      <c r="L461" s="206">
        <f t="shared" si="302"/>
        <v>0</v>
      </c>
      <c r="M461" s="206">
        <f t="shared" si="302"/>
        <v>0</v>
      </c>
      <c r="N461" s="206">
        <f t="shared" si="302"/>
        <v>0</v>
      </c>
    </row>
    <row r="462" spans="3:14" ht="15">
      <c r="C462" s="206">
        <f>+C457/$O$457</f>
        <v>0</v>
      </c>
      <c r="D462" s="206">
        <f aca="true" t="shared" si="303" ref="D462:N462">+D457/$O$457</f>
        <v>0.2857142857142857</v>
      </c>
      <c r="E462" s="206">
        <f t="shared" si="303"/>
        <v>0</v>
      </c>
      <c r="F462" s="206">
        <f t="shared" si="303"/>
        <v>0</v>
      </c>
      <c r="G462" s="206">
        <f t="shared" si="303"/>
        <v>0.14285714285714285</v>
      </c>
      <c r="H462" s="206">
        <f t="shared" si="303"/>
        <v>0.14285714285714285</v>
      </c>
      <c r="I462" s="206">
        <f t="shared" si="303"/>
        <v>0</v>
      </c>
      <c r="J462" s="206">
        <f t="shared" si="303"/>
        <v>0.2857142857142857</v>
      </c>
      <c r="K462" s="206">
        <f t="shared" si="303"/>
        <v>0.14285714285714285</v>
      </c>
      <c r="L462" s="206">
        <f t="shared" si="303"/>
        <v>0</v>
      </c>
      <c r="M462" s="206">
        <f t="shared" si="303"/>
        <v>0</v>
      </c>
      <c r="N462" s="206">
        <f t="shared" si="303"/>
        <v>0</v>
      </c>
    </row>
    <row r="463" spans="3:14" ht="15">
      <c r="C463" s="206">
        <f>+C458/$O$458</f>
        <v>0.055717336439526303</v>
      </c>
      <c r="D463" s="206">
        <f aca="true" t="shared" si="304" ref="D463:N463">+D458/$O$458</f>
        <v>0.07561638516792855</v>
      </c>
      <c r="E463" s="206">
        <f t="shared" si="304"/>
        <v>0.06367695593088721</v>
      </c>
      <c r="F463" s="206">
        <f t="shared" si="304"/>
        <v>0.10347505338769171</v>
      </c>
      <c r="G463" s="206">
        <f t="shared" si="304"/>
        <v>0.13929334109881578</v>
      </c>
      <c r="H463" s="206">
        <f t="shared" si="304"/>
        <v>0.10347505338769171</v>
      </c>
      <c r="I463" s="206">
        <f t="shared" si="304"/>
        <v>0.08357600465928945</v>
      </c>
      <c r="J463" s="206">
        <f t="shared" si="304"/>
        <v>0.06367695593088721</v>
      </c>
      <c r="K463" s="206">
        <f t="shared" si="304"/>
        <v>0.12337410211609397</v>
      </c>
      <c r="L463" s="206">
        <f t="shared" si="304"/>
        <v>0.0716365754222481</v>
      </c>
      <c r="M463" s="206">
        <f t="shared" si="304"/>
        <v>0.05824111822947001</v>
      </c>
      <c r="N463" s="206">
        <f t="shared" si="304"/>
        <v>0.05824111822947001</v>
      </c>
    </row>
    <row r="465" spans="1:17" ht="15">
      <c r="A465" s="204" t="s">
        <v>217</v>
      </c>
      <c r="C465" s="182">
        <f aca="true" t="shared" si="305" ref="C465">SUM(C466:C469)</f>
        <v>6597600</v>
      </c>
      <c r="D465" s="182">
        <f aca="true" t="shared" si="306" ref="D465:O465">SUM(D466:D469)</f>
        <v>15352800</v>
      </c>
      <c r="E465" s="182">
        <f t="shared" si="306"/>
        <v>95245500</v>
      </c>
      <c r="F465" s="182">
        <f t="shared" si="306"/>
        <v>11488000</v>
      </c>
      <c r="G465" s="182">
        <f t="shared" si="306"/>
        <v>10953500</v>
      </c>
      <c r="H465" s="182">
        <f t="shared" si="306"/>
        <v>4463500</v>
      </c>
      <c r="I465" s="182">
        <f t="shared" si="306"/>
        <v>3498200</v>
      </c>
      <c r="J465" s="182">
        <f t="shared" si="306"/>
        <v>5156100</v>
      </c>
      <c r="K465" s="182">
        <f t="shared" si="306"/>
        <v>4330400</v>
      </c>
      <c r="L465" s="182">
        <f t="shared" si="306"/>
        <v>3885300</v>
      </c>
      <c r="M465" s="182">
        <f t="shared" si="306"/>
        <v>3247430.859488263</v>
      </c>
      <c r="N465" s="182">
        <f t="shared" si="306"/>
        <v>2833615.0565374605</v>
      </c>
      <c r="O465" s="182">
        <f t="shared" si="306"/>
        <v>167051945.9160257</v>
      </c>
      <c r="Q465" s="182">
        <f>+O465*11%+O465</f>
        <v>185427659.96678853</v>
      </c>
    </row>
    <row r="466" spans="1:17" ht="15">
      <c r="A466" s="205" t="s">
        <v>218</v>
      </c>
      <c r="C466" s="185">
        <v>6000</v>
      </c>
      <c r="D466" s="185">
        <v>0</v>
      </c>
      <c r="E466" s="185">
        <v>0</v>
      </c>
      <c r="F466" s="185">
        <v>0</v>
      </c>
      <c r="G466" s="185">
        <v>36000</v>
      </c>
      <c r="H466" s="185">
        <v>0</v>
      </c>
      <c r="I466" s="185">
        <v>0</v>
      </c>
      <c r="J466" s="185">
        <v>0</v>
      </c>
      <c r="K466" s="185">
        <v>0</v>
      </c>
      <c r="L466" s="185">
        <v>0</v>
      </c>
      <c r="M466" s="208">
        <v>9892.129655172414</v>
      </c>
      <c r="N466" s="208">
        <v>9892.129655172414</v>
      </c>
      <c r="O466" s="208">
        <f aca="true" t="shared" si="307" ref="O466:O469">SUM(C466:N466)</f>
        <v>61784.25931034483</v>
      </c>
      <c r="P466" s="197">
        <f>+O466/O465</f>
        <v>0.0003698505813359563</v>
      </c>
      <c r="Q466" s="182">
        <f>+Q465*0.1%</f>
        <v>185427.65996678855</v>
      </c>
    </row>
    <row r="467" spans="1:17" ht="15">
      <c r="A467" s="205" t="s">
        <v>219</v>
      </c>
      <c r="C467" s="185">
        <v>1041600</v>
      </c>
      <c r="D467" s="185">
        <v>1468800</v>
      </c>
      <c r="E467" s="185">
        <v>2980800</v>
      </c>
      <c r="F467" s="185">
        <v>1507200</v>
      </c>
      <c r="G467" s="185">
        <v>1180800</v>
      </c>
      <c r="H467" s="185">
        <v>1180800</v>
      </c>
      <c r="I467" s="185">
        <v>1204800</v>
      </c>
      <c r="J467" s="185">
        <v>1377600</v>
      </c>
      <c r="K467" s="185">
        <v>1272000</v>
      </c>
      <c r="L467" s="185">
        <v>1089600</v>
      </c>
      <c r="M467" s="208">
        <v>1008704.6651022461</v>
      </c>
      <c r="N467" s="208">
        <v>879464.3798860209</v>
      </c>
      <c r="O467" s="208">
        <f t="shared" si="307"/>
        <v>16192169.044988267</v>
      </c>
      <c r="P467" s="197">
        <f>+O467/O465</f>
        <v>0.09692894600059199</v>
      </c>
      <c r="Q467" s="182">
        <f>+Q465*11.8%</f>
        <v>21880463.87608105</v>
      </c>
    </row>
    <row r="468" spans="1:17" ht="15">
      <c r="A468" s="205" t="s">
        <v>220</v>
      </c>
      <c r="C468" s="185">
        <v>780000</v>
      </c>
      <c r="D468" s="185">
        <v>1392000</v>
      </c>
      <c r="E468" s="185">
        <v>2205700</v>
      </c>
      <c r="F468" s="185">
        <v>1802800</v>
      </c>
      <c r="G468" s="185">
        <v>1461700</v>
      </c>
      <c r="H468" s="185">
        <v>945700</v>
      </c>
      <c r="I468" s="185">
        <v>1207400</v>
      </c>
      <c r="J468" s="185">
        <v>1116500</v>
      </c>
      <c r="K468" s="185">
        <v>1075400</v>
      </c>
      <c r="L468" s="185">
        <v>669700</v>
      </c>
      <c r="M468" s="208">
        <v>418873.6019613853</v>
      </c>
      <c r="N468" s="208">
        <v>406369.9123505976</v>
      </c>
      <c r="O468" s="208">
        <f t="shared" si="307"/>
        <v>13482143.514311982</v>
      </c>
      <c r="P468" s="197">
        <f>+O468/O465</f>
        <v>0.08070629432290023</v>
      </c>
      <c r="Q468" s="182">
        <f>+Q465*6.4%</f>
        <v>11867370.237874467</v>
      </c>
    </row>
    <row r="469" spans="1:17" ht="15">
      <c r="A469" s="205" t="s">
        <v>292</v>
      </c>
      <c r="C469" s="185">
        <v>4770000</v>
      </c>
      <c r="D469" s="185">
        <v>12492000</v>
      </c>
      <c r="E469" s="185">
        <v>90059000</v>
      </c>
      <c r="F469" s="185">
        <v>8178000</v>
      </c>
      <c r="G469" s="185">
        <v>8275000</v>
      </c>
      <c r="H469" s="185">
        <v>2337000</v>
      </c>
      <c r="I469" s="185">
        <v>1086000</v>
      </c>
      <c r="J469" s="185">
        <v>2662000</v>
      </c>
      <c r="K469" s="185">
        <v>1983000</v>
      </c>
      <c r="L469" s="185">
        <v>2126000</v>
      </c>
      <c r="M469" s="208">
        <v>1809960.4627694592</v>
      </c>
      <c r="N469" s="208">
        <v>1537888.6346456693</v>
      </c>
      <c r="O469" s="208">
        <f t="shared" si="307"/>
        <v>137315849.09741512</v>
      </c>
      <c r="P469" s="197">
        <f>+O469/O465</f>
        <v>0.8219949090951719</v>
      </c>
      <c r="Q469" s="182">
        <f>+Q465*81.7%</f>
        <v>151494398.19286624</v>
      </c>
    </row>
    <row r="471" spans="3:15" ht="15">
      <c r="C471" s="196">
        <f aca="true" t="shared" si="308" ref="C471:N471">+C466/$O$466</f>
        <v>0.09711211345695281</v>
      </c>
      <c r="D471" s="196">
        <f t="shared" si="308"/>
        <v>0</v>
      </c>
      <c r="E471" s="196">
        <f t="shared" si="308"/>
        <v>0</v>
      </c>
      <c r="F471" s="196">
        <f t="shared" si="308"/>
        <v>0</v>
      </c>
      <c r="G471" s="196">
        <f t="shared" si="308"/>
        <v>0.5826726807417169</v>
      </c>
      <c r="H471" s="196">
        <f t="shared" si="308"/>
        <v>0</v>
      </c>
      <c r="I471" s="196">
        <f t="shared" si="308"/>
        <v>0</v>
      </c>
      <c r="J471" s="196">
        <f t="shared" si="308"/>
        <v>0</v>
      </c>
      <c r="K471" s="196">
        <f t="shared" si="308"/>
        <v>0</v>
      </c>
      <c r="L471" s="196">
        <f t="shared" si="308"/>
        <v>0</v>
      </c>
      <c r="M471" s="196">
        <f t="shared" si="308"/>
        <v>0.16010760290066514</v>
      </c>
      <c r="N471" s="196">
        <f t="shared" si="308"/>
        <v>0.16010760290066514</v>
      </c>
      <c r="O471" s="196"/>
    </row>
    <row r="472" spans="3:15" ht="15">
      <c r="C472" s="196">
        <f aca="true" t="shared" si="309" ref="C472:N472">+C467/$O$467</f>
        <v>0.06432739166111853</v>
      </c>
      <c r="D472" s="196">
        <f t="shared" si="309"/>
        <v>0.09071051542996439</v>
      </c>
      <c r="E472" s="196">
        <f t="shared" si="309"/>
        <v>0.1840889871961042</v>
      </c>
      <c r="F472" s="196">
        <f t="shared" si="309"/>
        <v>0.09308203217323144</v>
      </c>
      <c r="G472" s="196">
        <f t="shared" si="309"/>
        <v>0.07292413985546158</v>
      </c>
      <c r="H472" s="196">
        <f t="shared" si="309"/>
        <v>0.07292413985546158</v>
      </c>
      <c r="I472" s="196">
        <f t="shared" si="309"/>
        <v>0.07440633782000347</v>
      </c>
      <c r="J472" s="196">
        <f t="shared" si="309"/>
        <v>0.08507816316470516</v>
      </c>
      <c r="K472" s="196">
        <f t="shared" si="309"/>
        <v>0.0785564921207208</v>
      </c>
      <c r="L472" s="196">
        <f t="shared" si="309"/>
        <v>0.06729178759020234</v>
      </c>
      <c r="M472" s="196">
        <f t="shared" si="309"/>
        <v>0.06229583339326958</v>
      </c>
      <c r="N472" s="196">
        <f t="shared" si="309"/>
        <v>0.05431417973975692</v>
      </c>
      <c r="O472" s="196"/>
    </row>
    <row r="473" spans="3:15" ht="15">
      <c r="C473" s="196">
        <f aca="true" t="shared" si="310" ref="C473:N473">+C468/$O$468</f>
        <v>0.057854301815730584</v>
      </c>
      <c r="D473" s="196">
        <f t="shared" si="310"/>
        <v>0.10324767708653458</v>
      </c>
      <c r="E473" s="196">
        <f t="shared" si="310"/>
        <v>0.16360158142943199</v>
      </c>
      <c r="F473" s="196">
        <f t="shared" si="310"/>
        <v>0.13371760937615268</v>
      </c>
      <c r="G473" s="196">
        <f t="shared" si="310"/>
        <v>0.1084174781590428</v>
      </c>
      <c r="H473" s="196">
        <f t="shared" si="310"/>
        <v>0.07014463234248258</v>
      </c>
      <c r="I473" s="196">
        <f t="shared" si="310"/>
        <v>0.08955549232347834</v>
      </c>
      <c r="J473" s="196">
        <f t="shared" si="310"/>
        <v>0.08281324099649127</v>
      </c>
      <c r="K473" s="196">
        <f t="shared" si="310"/>
        <v>0.07976476432389316</v>
      </c>
      <c r="L473" s="196">
        <f t="shared" si="310"/>
        <v>0.04967311016153176</v>
      </c>
      <c r="M473" s="196">
        <f t="shared" si="310"/>
        <v>0.031068768962200233</v>
      </c>
      <c r="N473" s="196">
        <f t="shared" si="310"/>
        <v>0.030141343023030072</v>
      </c>
      <c r="O473" s="196"/>
    </row>
    <row r="474" spans="3:15" ht="15">
      <c r="C474" s="196">
        <f aca="true" t="shared" si="311" ref="C474:N474">+C469/$O$469</f>
        <v>0.03473743221451479</v>
      </c>
      <c r="D474" s="196">
        <f t="shared" si="311"/>
        <v>0.09097274700706894</v>
      </c>
      <c r="E474" s="196">
        <f t="shared" si="311"/>
        <v>0.6558529156828067</v>
      </c>
      <c r="F474" s="196">
        <f t="shared" si="311"/>
        <v>0.05955612592249517</v>
      </c>
      <c r="G474" s="196">
        <f t="shared" si="311"/>
        <v>0.060262526535662456</v>
      </c>
      <c r="H474" s="196">
        <f t="shared" si="311"/>
        <v>0.017019157040947815</v>
      </c>
      <c r="I474" s="196">
        <f t="shared" si="311"/>
        <v>0.007908773875254311</v>
      </c>
      <c r="J474" s="196">
        <f t="shared" si="311"/>
        <v>0.019385963219085613</v>
      </c>
      <c r="K474" s="196">
        <f t="shared" si="311"/>
        <v>0.01444115892691464</v>
      </c>
      <c r="L474" s="196">
        <f t="shared" si="311"/>
        <v>0.015482553645295272</v>
      </c>
      <c r="M474" s="196">
        <f t="shared" si="311"/>
        <v>0.01318100186297818</v>
      </c>
      <c r="N474" s="196">
        <f t="shared" si="311"/>
        <v>0.011199644066976235</v>
      </c>
      <c r="O474" s="196"/>
    </row>
    <row r="476" spans="1:17" ht="15">
      <c r="A476" s="204" t="s">
        <v>476</v>
      </c>
      <c r="C476" s="210">
        <v>2067</v>
      </c>
      <c r="D476" s="210">
        <v>8027</v>
      </c>
      <c r="E476" s="210">
        <v>18323</v>
      </c>
      <c r="F476" s="210">
        <v>3741926</v>
      </c>
      <c r="G476" s="210">
        <v>2713084</v>
      </c>
      <c r="H476" s="210">
        <v>2972738</v>
      </c>
      <c r="I476" s="210">
        <v>2968561</v>
      </c>
      <c r="J476" s="210">
        <v>3670532</v>
      </c>
      <c r="K476" s="210">
        <v>3297015</v>
      </c>
      <c r="L476" s="210">
        <v>3204721</v>
      </c>
      <c r="M476" s="210">
        <v>50000</v>
      </c>
      <c r="N476" s="210">
        <v>50000</v>
      </c>
      <c r="O476" s="208">
        <f aca="true" t="shared" si="312" ref="O476">SUM(C476:N476)</f>
        <v>22696994</v>
      </c>
      <c r="Q476" s="212">
        <f>+O476*7%+O476</f>
        <v>24285783.58</v>
      </c>
    </row>
    <row r="478" spans="3:14" ht="15">
      <c r="C478" s="195">
        <f>+C476/$O$476</f>
        <v>9.106932838771514E-05</v>
      </c>
      <c r="D478" s="195">
        <f aca="true" t="shared" si="313" ref="D478:N478">+D476/$O$476</f>
        <v>0.00035365916737696633</v>
      </c>
      <c r="E478" s="195">
        <f t="shared" si="313"/>
        <v>0.0008072875201006794</v>
      </c>
      <c r="F478" s="195">
        <f t="shared" si="313"/>
        <v>0.16486438688753233</v>
      </c>
      <c r="G478" s="195">
        <f t="shared" si="313"/>
        <v>0.1195349481081063</v>
      </c>
      <c r="H478" s="195">
        <f t="shared" si="313"/>
        <v>0.13097496523107863</v>
      </c>
      <c r="I478" s="195">
        <f t="shared" si="313"/>
        <v>0.13079093205029707</v>
      </c>
      <c r="J478" s="195">
        <f t="shared" si="313"/>
        <v>0.16171886021558626</v>
      </c>
      <c r="K478" s="195">
        <f t="shared" si="313"/>
        <v>0.14526218758307818</v>
      </c>
      <c r="L478" s="195">
        <f t="shared" si="313"/>
        <v>0.14119583412675704</v>
      </c>
      <c r="M478" s="195">
        <f t="shared" si="313"/>
        <v>0.0022029348908494226</v>
      </c>
      <c r="N478" s="195">
        <f t="shared" si="313"/>
        <v>0.0022029348908494226</v>
      </c>
    </row>
    <row r="482" ht="15">
      <c r="A482" s="31" t="s">
        <v>117</v>
      </c>
    </row>
    <row r="483" spans="1:15" ht="15">
      <c r="A483" s="205" t="s">
        <v>608</v>
      </c>
      <c r="C483" s="208">
        <v>4258816</v>
      </c>
      <c r="D483" s="208">
        <v>5598368</v>
      </c>
      <c r="E483" s="208">
        <v>8072965</v>
      </c>
      <c r="F483" s="208">
        <v>4315447</v>
      </c>
      <c r="G483" s="208">
        <v>3152878</v>
      </c>
      <c r="H483" s="208">
        <v>4345427</v>
      </c>
      <c r="I483" s="208">
        <v>4318131</v>
      </c>
      <c r="J483" s="208">
        <v>5329762</v>
      </c>
      <c r="K483" s="208">
        <v>2459287</v>
      </c>
      <c r="L483" s="208">
        <v>3158792</v>
      </c>
      <c r="M483" s="208">
        <v>3158792</v>
      </c>
      <c r="N483" s="208">
        <v>3158792</v>
      </c>
      <c r="O483" s="210">
        <f aca="true" t="shared" si="314" ref="O483:O484">SUM(C483:N483)</f>
        <v>51327457</v>
      </c>
    </row>
    <row r="484" spans="1:15" ht="15">
      <c r="A484" s="205" t="s">
        <v>609</v>
      </c>
      <c r="C484" s="208">
        <v>6800</v>
      </c>
      <c r="D484" s="208">
        <v>28764</v>
      </c>
      <c r="E484" s="208">
        <v>59251</v>
      </c>
      <c r="F484" s="208">
        <v>50541</v>
      </c>
      <c r="G484" s="208">
        <v>7775</v>
      </c>
      <c r="H484" s="208">
        <v>10333</v>
      </c>
      <c r="I484" s="208">
        <v>10193</v>
      </c>
      <c r="J484" s="208">
        <v>146814</v>
      </c>
      <c r="K484" s="208">
        <v>62252</v>
      </c>
      <c r="L484" s="208">
        <v>23371</v>
      </c>
      <c r="M484" s="208">
        <v>23371</v>
      </c>
      <c r="N484" s="208">
        <v>23371</v>
      </c>
      <c r="O484" s="210">
        <f t="shared" si="314"/>
        <v>452836</v>
      </c>
    </row>
    <row r="488" ht="15">
      <c r="A488" s="31" t="s">
        <v>763</v>
      </c>
    </row>
    <row r="489" spans="2:17" ht="15">
      <c r="B489" s="41"/>
      <c r="C489" s="41"/>
      <c r="O489" s="168" t="s">
        <v>4</v>
      </c>
      <c r="Q489" s="201">
        <v>2017</v>
      </c>
    </row>
    <row r="490" spans="1:17" ht="15">
      <c r="A490" s="204" t="s">
        <v>185</v>
      </c>
      <c r="C490" s="182">
        <f>SUM(C491:C499)</f>
        <v>28192371.679256212</v>
      </c>
      <c r="D490" s="182">
        <f aca="true" t="shared" si="315" ref="D490:O490">SUM(D491:D500)</f>
        <v>31939057.54647017</v>
      </c>
      <c r="E490" s="182">
        <f t="shared" si="315"/>
        <v>23514331.532250732</v>
      </c>
      <c r="F490" s="182">
        <f t="shared" si="315"/>
        <v>24749263.929580465</v>
      </c>
      <c r="G490" s="182">
        <f t="shared" si="315"/>
        <v>23763471.224680956</v>
      </c>
      <c r="H490" s="182">
        <f t="shared" si="315"/>
        <v>26210431.295714144</v>
      </c>
      <c r="I490" s="182">
        <f t="shared" si="315"/>
        <v>22110297.69559314</v>
      </c>
      <c r="J490" s="182">
        <f t="shared" si="315"/>
        <v>23193038.825004946</v>
      </c>
      <c r="K490" s="182">
        <f t="shared" si="315"/>
        <v>20094630.325408284</v>
      </c>
      <c r="L490" s="184">
        <f t="shared" si="315"/>
        <v>19684125.796210878</v>
      </c>
      <c r="M490" s="184">
        <f t="shared" si="315"/>
        <v>7792401.864073918</v>
      </c>
      <c r="N490" s="183">
        <f t="shared" si="315"/>
        <v>6801091.285756132</v>
      </c>
      <c r="O490" s="182">
        <f t="shared" si="315"/>
        <v>258044513</v>
      </c>
      <c r="P490" s="188"/>
      <c r="Q490" s="182">
        <f>SUM(Q491:Q499)</f>
        <v>204135824.25</v>
      </c>
    </row>
    <row r="491" spans="1:17" ht="15">
      <c r="A491" s="205" t="s">
        <v>764</v>
      </c>
      <c r="C491" s="185">
        <f aca="true" t="shared" si="316" ref="C491:N491">+$O$491*C395</f>
        <v>13492215.177119946</v>
      </c>
      <c r="D491" s="185">
        <f t="shared" si="316"/>
        <v>16074201.17274142</v>
      </c>
      <c r="E491" s="185">
        <f t="shared" si="316"/>
        <v>10558551.982094841</v>
      </c>
      <c r="F491" s="185">
        <f t="shared" si="316"/>
        <v>11691001.980174437</v>
      </c>
      <c r="G491" s="185">
        <f t="shared" si="316"/>
        <v>11867252.379875552</v>
      </c>
      <c r="H491" s="185">
        <f t="shared" si="316"/>
        <v>12810274.37827638</v>
      </c>
      <c r="I491" s="185">
        <f t="shared" si="316"/>
        <v>10915170.78149009</v>
      </c>
      <c r="J491" s="185">
        <f t="shared" si="316"/>
        <v>10080040.3829063</v>
      </c>
      <c r="K491" s="185">
        <f t="shared" si="316"/>
        <v>9141136.38449849</v>
      </c>
      <c r="L491" s="185">
        <f t="shared" si="316"/>
        <v>9076895.58460743</v>
      </c>
      <c r="M491" s="185">
        <f t="shared" si="316"/>
        <v>3253510.0768944067</v>
      </c>
      <c r="N491" s="185">
        <f t="shared" si="316"/>
        <v>2839614.719320694</v>
      </c>
      <c r="O491" s="185">
        <v>121799865</v>
      </c>
      <c r="P491" s="199">
        <v>0.53</v>
      </c>
      <c r="Q491" s="182">
        <f>+O491*16%+O491</f>
        <v>141287843.4</v>
      </c>
    </row>
    <row r="492" spans="1:17" ht="15">
      <c r="A492" s="205" t="s">
        <v>765</v>
      </c>
      <c r="C492" s="185">
        <f aca="true" t="shared" si="317" ref="C492:N492">+$O$492*C395</f>
        <v>3420561.5926392307</v>
      </c>
      <c r="D492" s="185">
        <f t="shared" si="317"/>
        <v>4075149.5912306104</v>
      </c>
      <c r="E492" s="185">
        <f t="shared" si="317"/>
        <v>2676815.9942397103</v>
      </c>
      <c r="F492" s="185">
        <f t="shared" si="317"/>
        <v>2963915.9936218946</v>
      </c>
      <c r="G492" s="185">
        <f t="shared" si="317"/>
        <v>3008599.19352574</v>
      </c>
      <c r="H492" s="185">
        <f t="shared" si="317"/>
        <v>3247675.193011268</v>
      </c>
      <c r="I492" s="185">
        <f t="shared" si="317"/>
        <v>2767226.3940451546</v>
      </c>
      <c r="J492" s="185">
        <f t="shared" si="317"/>
        <v>2555503.1945007658</v>
      </c>
      <c r="K492" s="185">
        <f t="shared" si="317"/>
        <v>2317471.195012991</v>
      </c>
      <c r="L492" s="185">
        <f t="shared" si="317"/>
        <v>2301184.795048038</v>
      </c>
      <c r="M492" s="185">
        <f t="shared" si="317"/>
        <v>824833.5402448927</v>
      </c>
      <c r="N492" s="185">
        <f t="shared" si="317"/>
        <v>719902.3228797002</v>
      </c>
      <c r="O492" s="185">
        <v>30878839</v>
      </c>
      <c r="P492" s="199"/>
      <c r="Q492" s="182"/>
    </row>
    <row r="493" spans="1:17" ht="15">
      <c r="A493" s="205" t="s">
        <v>766</v>
      </c>
      <c r="C493" s="185">
        <f aca="true" t="shared" si="318" ref="C493:N493">+$O$493*C395</f>
        <v>2090343.2385803924</v>
      </c>
      <c r="D493" s="185">
        <f t="shared" si="318"/>
        <v>2490369.245963467</v>
      </c>
      <c r="E493" s="185">
        <f t="shared" si="318"/>
        <v>1635832.030191712</v>
      </c>
      <c r="F493" s="185">
        <f t="shared" si="318"/>
        <v>1811282.033429903</v>
      </c>
      <c r="G493" s="185">
        <f t="shared" si="318"/>
        <v>1838588.4339338832</v>
      </c>
      <c r="H493" s="185">
        <f t="shared" si="318"/>
        <v>1984690.436630413</v>
      </c>
      <c r="I493" s="185">
        <f t="shared" si="318"/>
        <v>1691082.831211448</v>
      </c>
      <c r="J493" s="185">
        <f t="shared" si="318"/>
        <v>1561696.4288234294</v>
      </c>
      <c r="K493" s="185">
        <f t="shared" si="318"/>
        <v>1416232.4261386748</v>
      </c>
      <c r="L493" s="185">
        <f t="shared" si="318"/>
        <v>1406279.6259549814</v>
      </c>
      <c r="M493" s="185">
        <f t="shared" si="318"/>
        <v>504064.9516487425</v>
      </c>
      <c r="N493" s="185">
        <f t="shared" si="318"/>
        <v>439940.31749295176</v>
      </c>
      <c r="O493" s="185">
        <v>18870402</v>
      </c>
      <c r="P493" s="199"/>
      <c r="Q493" s="182"/>
    </row>
    <row r="494" spans="1:17" ht="15">
      <c r="A494" s="205" t="s">
        <v>767</v>
      </c>
      <c r="C494" s="185">
        <f aca="true" t="shared" si="319" ref="C494:N494">+$O$494*C396</f>
        <v>10591638.018051649</v>
      </c>
      <c r="D494" s="185">
        <f t="shared" si="319"/>
        <v>11448146.519511424</v>
      </c>
      <c r="E494" s="185">
        <f t="shared" si="319"/>
        <v>9319531.01588356</v>
      </c>
      <c r="F494" s="185">
        <f t="shared" si="319"/>
        <v>9405263.516029676</v>
      </c>
      <c r="G494" s="185">
        <f t="shared" si="319"/>
        <v>8582231.514626957</v>
      </c>
      <c r="H494" s="185">
        <f t="shared" si="319"/>
        <v>9660828.016465241</v>
      </c>
      <c r="I494" s="185">
        <f t="shared" si="319"/>
        <v>8073552.01376</v>
      </c>
      <c r="J494" s="185">
        <f t="shared" si="319"/>
        <v>9425676.016064465</v>
      </c>
      <c r="K494" s="185">
        <f t="shared" si="319"/>
        <v>7881674.513432977</v>
      </c>
      <c r="L494" s="185">
        <f t="shared" si="319"/>
        <v>7635091.5130127175</v>
      </c>
      <c r="M494" s="185">
        <f t="shared" si="319"/>
        <v>3259875.7553301826</v>
      </c>
      <c r="N494" s="185">
        <f t="shared" si="319"/>
        <v>2845170.5878311573</v>
      </c>
      <c r="O494" s="185">
        <v>98128679</v>
      </c>
      <c r="P494" s="199">
        <f>+O494/O490</f>
        <v>0.380278107289187</v>
      </c>
      <c r="Q494" s="182">
        <f>+O494*15%+O494</f>
        <v>112847980.85</v>
      </c>
    </row>
    <row r="495" spans="1:17" ht="15">
      <c r="A495" s="205" t="s">
        <v>768</v>
      </c>
      <c r="C495" s="185">
        <f aca="true" t="shared" si="320" ref="C495:N495">+$O$495*C396</f>
        <v>2685203.9756921357</v>
      </c>
      <c r="D495" s="185">
        <f t="shared" si="320"/>
        <v>2902346.9737264444</v>
      </c>
      <c r="E495" s="185">
        <f t="shared" si="320"/>
        <v>2362697.978611628</v>
      </c>
      <c r="F495" s="185">
        <f t="shared" si="320"/>
        <v>2384432.9784148717</v>
      </c>
      <c r="G495" s="185">
        <f t="shared" si="320"/>
        <v>2175776.980303734</v>
      </c>
      <c r="H495" s="185">
        <f t="shared" si="320"/>
        <v>2449223.9778283495</v>
      </c>
      <c r="I495" s="185">
        <f t="shared" si="320"/>
        <v>2046815.9814711562</v>
      </c>
      <c r="J495" s="185">
        <f t="shared" si="320"/>
        <v>2389607.9783680243</v>
      </c>
      <c r="K495" s="185">
        <f t="shared" si="320"/>
        <v>1998170.981911516</v>
      </c>
      <c r="L495" s="185">
        <f t="shared" si="320"/>
        <v>1935656.9824774254</v>
      </c>
      <c r="M495" s="185">
        <f t="shared" si="320"/>
        <v>826447.3657007795</v>
      </c>
      <c r="N495" s="185">
        <f t="shared" si="320"/>
        <v>721310.8454939362</v>
      </c>
      <c r="O495" s="185">
        <v>24877693</v>
      </c>
      <c r="P495" s="199"/>
      <c r="Q495" s="182"/>
    </row>
    <row r="496" spans="1:17" ht="15">
      <c r="A496" s="205" t="s">
        <v>769</v>
      </c>
      <c r="C496" s="185">
        <f aca="true" t="shared" si="321" ref="C496:N496">+$O$496*C396</f>
        <v>1640958.027120388</v>
      </c>
      <c r="D496" s="185">
        <f t="shared" si="321"/>
        <v>1773656.5293135184</v>
      </c>
      <c r="E496" s="185">
        <f t="shared" si="321"/>
        <v>1443871.0238630981</v>
      </c>
      <c r="F496" s="185">
        <f t="shared" si="321"/>
        <v>1457153.5240826204</v>
      </c>
      <c r="G496" s="185">
        <f t="shared" si="321"/>
        <v>1329641.521975208</v>
      </c>
      <c r="H496" s="185">
        <f t="shared" si="321"/>
        <v>1496748.0247370051</v>
      </c>
      <c r="I496" s="185">
        <f t="shared" si="321"/>
        <v>1250832.0206727104</v>
      </c>
      <c r="J496" s="185">
        <f t="shared" si="321"/>
        <v>1460316.0241348874</v>
      </c>
      <c r="K496" s="185">
        <f t="shared" si="321"/>
        <v>1221104.5201813988</v>
      </c>
      <c r="L496" s="185">
        <f t="shared" si="321"/>
        <v>1182901.5195500115</v>
      </c>
      <c r="M496" s="185">
        <f t="shared" si="321"/>
        <v>505051.18084730563</v>
      </c>
      <c r="N496" s="185">
        <f t="shared" si="321"/>
        <v>440801.0835218484</v>
      </c>
      <c r="O496" s="185">
        <v>15203035</v>
      </c>
      <c r="P496" s="199"/>
      <c r="Q496" s="182"/>
    </row>
    <row r="497" spans="1:17" ht="15">
      <c r="A497" s="205" t="s">
        <v>770</v>
      </c>
      <c r="C497" s="185">
        <f aca="true" t="shared" si="322" ref="C497:N497">+$O$497*C395</f>
        <v>-4067269.3284627404</v>
      </c>
      <c r="D497" s="185">
        <f t="shared" si="322"/>
        <v>-4845616.865071865</v>
      </c>
      <c r="E497" s="185">
        <f t="shared" si="322"/>
        <v>-3182907.629770011</v>
      </c>
      <c r="F497" s="185">
        <f t="shared" si="322"/>
        <v>-3524288.128282786</v>
      </c>
      <c r="G497" s="185">
        <f t="shared" si="322"/>
        <v>-3577419.347687683</v>
      </c>
      <c r="H497" s="185">
        <f t="shared" si="322"/>
        <v>-3861696.1991765024</v>
      </c>
      <c r="I497" s="185">
        <f t="shared" si="322"/>
        <v>-3290411.4522107616</v>
      </c>
      <c r="J497" s="185">
        <f t="shared" si="322"/>
        <v>-3038658.851852977</v>
      </c>
      <c r="K497" s="185">
        <f t="shared" si="322"/>
        <v>-2755623.3839951134</v>
      </c>
      <c r="L497" s="185">
        <f>+$O$497*L395</f>
        <v>-2736257.799352207</v>
      </c>
      <c r="M497" s="185">
        <f t="shared" si="322"/>
        <v>-980780.5146805977</v>
      </c>
      <c r="N497" s="185">
        <f t="shared" si="322"/>
        <v>-856010.4994567503</v>
      </c>
      <c r="O497" s="185">
        <v>-36716940</v>
      </c>
      <c r="P497" s="199"/>
      <c r="Q497" s="182"/>
    </row>
    <row r="498" spans="1:17" ht="15">
      <c r="A498" s="205" t="s">
        <v>771</v>
      </c>
      <c r="C498" s="185">
        <f aca="true" t="shared" si="323" ref="C498:N498">+$O$498*C395</f>
        <v>-1031138.7029905539</v>
      </c>
      <c r="D498" s="185">
        <f t="shared" si="323"/>
        <v>-1228466.247483008</v>
      </c>
      <c r="E498" s="185">
        <f t="shared" si="323"/>
        <v>-806934.3286740874</v>
      </c>
      <c r="F498" s="185">
        <f t="shared" si="323"/>
        <v>-893481.4973111288</v>
      </c>
      <c r="G498" s="185">
        <f t="shared" si="323"/>
        <v>-906951.3839208211</v>
      </c>
      <c r="H498" s="185">
        <f t="shared" si="323"/>
        <v>-979021.5716222118</v>
      </c>
      <c r="I498" s="185">
        <f t="shared" si="323"/>
        <v>-834188.818870334</v>
      </c>
      <c r="J498" s="185">
        <f t="shared" si="323"/>
        <v>-770364.2159627266</v>
      </c>
      <c r="K498" s="185">
        <f t="shared" si="323"/>
        <v>-698608.7452381979</v>
      </c>
      <c r="L498" s="185">
        <f t="shared" si="323"/>
        <v>-693699.1603991512</v>
      </c>
      <c r="M498" s="185">
        <f t="shared" si="323"/>
        <v>-248648.58118663038</v>
      </c>
      <c r="N498" s="185">
        <f t="shared" si="323"/>
        <v>-217016.74634114795</v>
      </c>
      <c r="O498" s="185">
        <v>-9308520</v>
      </c>
      <c r="P498" s="199"/>
      <c r="Q498" s="182"/>
    </row>
    <row r="499" spans="1:17" ht="15">
      <c r="A499" s="205" t="s">
        <v>772</v>
      </c>
      <c r="C499" s="185">
        <f aca="true" t="shared" si="324" ref="C499:N499">+$O$499*C395</f>
        <v>-630140.3184942274</v>
      </c>
      <c r="D499" s="185">
        <f t="shared" si="324"/>
        <v>-750729.3734618382</v>
      </c>
      <c r="E499" s="185">
        <f t="shared" si="324"/>
        <v>-493126.53418972006</v>
      </c>
      <c r="F499" s="185">
        <f t="shared" si="324"/>
        <v>-546016.4705790231</v>
      </c>
      <c r="G499" s="185">
        <f t="shared" si="324"/>
        <v>-554248.0679516129</v>
      </c>
      <c r="H499" s="185">
        <f t="shared" si="324"/>
        <v>-598290.9604357962</v>
      </c>
      <c r="I499" s="185">
        <f t="shared" si="324"/>
        <v>-509782.05597631517</v>
      </c>
      <c r="J499" s="185">
        <f t="shared" si="324"/>
        <v>-470778.13197722187</v>
      </c>
      <c r="K499" s="185">
        <f t="shared" si="324"/>
        <v>-426927.56653445424</v>
      </c>
      <c r="L499" s="185">
        <f t="shared" si="324"/>
        <v>-423927.26468837017</v>
      </c>
      <c r="M499" s="185">
        <f t="shared" si="324"/>
        <v>-151951.910725163</v>
      </c>
      <c r="N499" s="185">
        <f t="shared" si="324"/>
        <v>-132621.34498625709</v>
      </c>
      <c r="O499" s="185">
        <v>-5688540</v>
      </c>
      <c r="P499" s="199"/>
      <c r="Q499" s="182">
        <v>-50000000</v>
      </c>
    </row>
    <row r="501" spans="3:14" ht="15">
      <c r="C501" s="209"/>
      <c r="D501" s="209"/>
      <c r="E501" s="209"/>
      <c r="F501" s="209"/>
      <c r="G501" s="209"/>
      <c r="H501" s="209"/>
      <c r="I501" s="209"/>
      <c r="J501" s="209"/>
      <c r="K501" s="209"/>
      <c r="L501" s="209"/>
      <c r="M501" s="209"/>
      <c r="N501" s="209"/>
    </row>
    <row r="502" spans="3:14" ht="15">
      <c r="C502" s="209"/>
      <c r="D502" s="209"/>
      <c r="E502" s="209"/>
      <c r="F502" s="209"/>
      <c r="G502" s="209"/>
      <c r="H502" s="209"/>
      <c r="I502" s="209"/>
      <c r="J502" s="209"/>
      <c r="K502" s="209"/>
      <c r="L502" s="209"/>
      <c r="M502" s="209"/>
      <c r="N502" s="209"/>
    </row>
    <row r="503" spans="1:15" ht="15">
      <c r="A503" s="205" t="s">
        <v>764</v>
      </c>
      <c r="C503" s="185">
        <f>+C491-C497</f>
        <v>17559484.505582687</v>
      </c>
      <c r="D503" s="185">
        <f aca="true" t="shared" si="325" ref="D503:N503">+D491-D497</f>
        <v>20919818.037813284</v>
      </c>
      <c r="E503" s="185">
        <f t="shared" si="325"/>
        <v>13741459.611864852</v>
      </c>
      <c r="F503" s="185">
        <f t="shared" si="325"/>
        <v>15215290.108457223</v>
      </c>
      <c r="G503" s="185">
        <f t="shared" si="325"/>
        <v>15444671.727563236</v>
      </c>
      <c r="H503" s="185">
        <f t="shared" si="325"/>
        <v>16671970.577452883</v>
      </c>
      <c r="I503" s="185">
        <f t="shared" si="325"/>
        <v>14205582.233700851</v>
      </c>
      <c r="J503" s="185">
        <f t="shared" si="325"/>
        <v>13118699.234759277</v>
      </c>
      <c r="K503" s="185">
        <f t="shared" si="325"/>
        <v>11896759.768493604</v>
      </c>
      <c r="L503" s="185">
        <f t="shared" si="325"/>
        <v>11813153.383959636</v>
      </c>
      <c r="M503" s="185">
        <f t="shared" si="325"/>
        <v>4234290.591575004</v>
      </c>
      <c r="N503" s="185">
        <f t="shared" si="325"/>
        <v>3695625.218777444</v>
      </c>
      <c r="O503" s="366">
        <f>+SUM(C503:N503)</f>
        <v>158516804.99999994</v>
      </c>
    </row>
    <row r="504" spans="1:15" ht="15">
      <c r="A504" s="205" t="s">
        <v>765</v>
      </c>
      <c r="C504" s="185">
        <f>+C492-C498</f>
        <v>4451700.295629784</v>
      </c>
      <c r="D504" s="185">
        <f aca="true" t="shared" si="326" ref="D504:N504">+D492-D498</f>
        <v>5303615.838713618</v>
      </c>
      <c r="E504" s="185">
        <f t="shared" si="326"/>
        <v>3483750.3229137976</v>
      </c>
      <c r="F504" s="185">
        <f t="shared" si="326"/>
        <v>3857397.4909330234</v>
      </c>
      <c r="G504" s="185">
        <f t="shared" si="326"/>
        <v>3915550.5774465613</v>
      </c>
      <c r="H504" s="185">
        <f t="shared" si="326"/>
        <v>4226696.7646334795</v>
      </c>
      <c r="I504" s="185">
        <f t="shared" si="326"/>
        <v>3601415.2129154885</v>
      </c>
      <c r="J504" s="185">
        <f t="shared" si="326"/>
        <v>3325867.4104634924</v>
      </c>
      <c r="K504" s="185">
        <f t="shared" si="326"/>
        <v>3016079.940251189</v>
      </c>
      <c r="L504" s="185">
        <f t="shared" si="326"/>
        <v>2994883.955447189</v>
      </c>
      <c r="M504" s="185">
        <f t="shared" si="326"/>
        <v>1073482.121431523</v>
      </c>
      <c r="N504" s="185">
        <f t="shared" si="326"/>
        <v>936919.0692208481</v>
      </c>
      <c r="O504" s="366">
        <f aca="true" t="shared" si="327" ref="O504:O505">+SUM(C504:N504)</f>
        <v>40187358.99999999</v>
      </c>
    </row>
    <row r="505" spans="1:15" ht="15">
      <c r="A505" s="205" t="s">
        <v>766</v>
      </c>
      <c r="C505" s="185">
        <f>+C493-C499</f>
        <v>2720483.55707462</v>
      </c>
      <c r="D505" s="185">
        <f aca="true" t="shared" si="328" ref="D505:N505">+D493-D499</f>
        <v>3241098.619425305</v>
      </c>
      <c r="E505" s="185">
        <f t="shared" si="328"/>
        <v>2128958.5643814323</v>
      </c>
      <c r="F505" s="185">
        <f t="shared" si="328"/>
        <v>2357298.504008926</v>
      </c>
      <c r="G505" s="185">
        <f t="shared" si="328"/>
        <v>2392836.501885496</v>
      </c>
      <c r="H505" s="185">
        <f t="shared" si="328"/>
        <v>2582981.397066209</v>
      </c>
      <c r="I505" s="185">
        <f t="shared" si="328"/>
        <v>2200864.887187763</v>
      </c>
      <c r="J505" s="185">
        <f t="shared" si="328"/>
        <v>2032474.5608006513</v>
      </c>
      <c r="K505" s="185">
        <f t="shared" si="328"/>
        <v>1843159.992673129</v>
      </c>
      <c r="L505" s="185">
        <f t="shared" si="328"/>
        <v>1830206.8906433517</v>
      </c>
      <c r="M505" s="185">
        <f t="shared" si="328"/>
        <v>656016.8623739055</v>
      </c>
      <c r="N505" s="185">
        <f t="shared" si="328"/>
        <v>572561.6624792088</v>
      </c>
      <c r="O505" s="366">
        <f t="shared" si="327"/>
        <v>24558942</v>
      </c>
    </row>
    <row r="506" spans="3:14" ht="15">
      <c r="C506" s="209"/>
      <c r="D506" s="209"/>
      <c r="E506" s="209"/>
      <c r="F506" s="209"/>
      <c r="G506" s="209"/>
      <c r="H506" s="209"/>
      <c r="I506" s="209"/>
      <c r="J506" s="209"/>
      <c r="K506" s="209"/>
      <c r="L506" s="209"/>
      <c r="M506" s="209"/>
      <c r="N506" s="209"/>
    </row>
    <row r="507" spans="3:14" ht="15">
      <c r="C507" s="209"/>
      <c r="D507" s="209"/>
      <c r="E507" s="209"/>
      <c r="F507" s="209"/>
      <c r="G507" s="209"/>
      <c r="H507" s="209"/>
      <c r="I507" s="209"/>
      <c r="J507" s="209"/>
      <c r="K507" s="209"/>
      <c r="L507" s="209"/>
      <c r="M507" s="209"/>
      <c r="N507" s="209"/>
    </row>
    <row r="508" spans="3:14" ht="15">
      <c r="C508" s="209"/>
      <c r="D508" s="209"/>
      <c r="E508" s="209"/>
      <c r="F508" s="209"/>
      <c r="G508" s="209"/>
      <c r="H508" s="209"/>
      <c r="I508" s="209"/>
      <c r="J508" s="209"/>
      <c r="K508" s="209"/>
      <c r="L508" s="209"/>
      <c r="M508" s="209"/>
      <c r="N508" s="209"/>
    </row>
    <row r="509" spans="1:15" ht="15">
      <c r="A509" s="204" t="s">
        <v>188</v>
      </c>
      <c r="C509" s="182">
        <f aca="true" t="shared" si="329" ref="C509:N509">SUM(C510:C515)</f>
        <v>117638732.2443286</v>
      </c>
      <c r="D509" s="182">
        <f t="shared" si="329"/>
        <v>195655388.31293988</v>
      </c>
      <c r="E509" s="182">
        <f t="shared" si="329"/>
        <v>1066611123.9389695</v>
      </c>
      <c r="F509" s="182">
        <f t="shared" si="329"/>
        <v>84496643.78816949</v>
      </c>
      <c r="G509" s="182">
        <f t="shared" si="329"/>
        <v>68028770.3547714</v>
      </c>
      <c r="H509" s="182">
        <f t="shared" si="329"/>
        <v>46330079.259307265</v>
      </c>
      <c r="I509" s="182">
        <f t="shared" si="329"/>
        <v>26963401.311787352</v>
      </c>
      <c r="J509" s="182">
        <f t="shared" si="329"/>
        <v>30865003.851154607</v>
      </c>
      <c r="K509" s="182">
        <f t="shared" si="329"/>
        <v>24226469.203356963</v>
      </c>
      <c r="L509" s="182">
        <f t="shared" si="329"/>
        <v>15506500.989222934</v>
      </c>
      <c r="M509" s="182">
        <f t="shared" si="329"/>
        <v>13993693.914554615</v>
      </c>
      <c r="N509" s="182">
        <f t="shared" si="329"/>
        <v>12212322.831437571</v>
      </c>
      <c r="O509" s="182">
        <f>SUM(O510:O515)</f>
        <v>1702528130</v>
      </c>
    </row>
    <row r="510" spans="1:15" ht="15">
      <c r="A510" s="205" t="s">
        <v>773</v>
      </c>
      <c r="C510" s="185">
        <f>+$O$510*C405</f>
        <v>43694322.422671825</v>
      </c>
      <c r="D510" s="185">
        <f aca="true" t="shared" si="330" ref="D510:N510">+$O$510*D405</f>
        <v>76361293.43633884</v>
      </c>
      <c r="E510" s="185">
        <f t="shared" si="330"/>
        <v>511573721.90320647</v>
      </c>
      <c r="F510" s="185">
        <f t="shared" si="330"/>
        <v>37743758.00768554</v>
      </c>
      <c r="G510" s="185">
        <f t="shared" si="330"/>
        <v>32430225.616185553</v>
      </c>
      <c r="H510" s="185">
        <f t="shared" si="330"/>
        <v>22144261.10982005</v>
      </c>
      <c r="I510" s="185">
        <f t="shared" si="330"/>
        <v>10803845.0633562</v>
      </c>
      <c r="J510" s="185">
        <f t="shared" si="330"/>
        <v>14320760.244363667</v>
      </c>
      <c r="K510" s="185">
        <f t="shared" si="330"/>
        <v>10856022.502932705</v>
      </c>
      <c r="L510" s="185">
        <f t="shared" si="330"/>
        <v>6443524.4038210325</v>
      </c>
      <c r="M510" s="185">
        <f t="shared" si="330"/>
        <v>5617971.442669221</v>
      </c>
      <c r="N510" s="185">
        <f t="shared" si="330"/>
        <v>4902822.846948861</v>
      </c>
      <c r="O510" s="185">
        <v>776892529</v>
      </c>
    </row>
    <row r="511" spans="1:15" ht="15">
      <c r="A511" s="205" t="s">
        <v>774</v>
      </c>
      <c r="C511" s="185">
        <f>+$O$511*C405</f>
        <v>11077433.835415732</v>
      </c>
      <c r="D511" s="185">
        <f aca="true" t="shared" si="331" ref="D511:N511">+$O$511*D405</f>
        <v>19359201.121033993</v>
      </c>
      <c r="E511" s="185">
        <f t="shared" si="331"/>
        <v>129694746.18468328</v>
      </c>
      <c r="F511" s="185">
        <f t="shared" si="331"/>
        <v>9568840.042548325</v>
      </c>
      <c r="G511" s="185">
        <f t="shared" si="331"/>
        <v>8221747.3257921</v>
      </c>
      <c r="H511" s="185">
        <f t="shared" si="331"/>
        <v>5614038.0186081305</v>
      </c>
      <c r="I511" s="185">
        <f t="shared" si="331"/>
        <v>2739002.969303696</v>
      </c>
      <c r="J511" s="185">
        <f t="shared" si="331"/>
        <v>3630615.267247579</v>
      </c>
      <c r="K511" s="185">
        <f t="shared" si="331"/>
        <v>2752231.0525548565</v>
      </c>
      <c r="L511" s="185">
        <f t="shared" si="331"/>
        <v>1633569.5644791161</v>
      </c>
      <c r="M511" s="185">
        <f t="shared" si="331"/>
        <v>1424274.4479116232</v>
      </c>
      <c r="N511" s="185">
        <f t="shared" si="331"/>
        <v>1242969.170421561</v>
      </c>
      <c r="O511" s="185">
        <v>196958669</v>
      </c>
    </row>
    <row r="512" spans="1:15" ht="15">
      <c r="A512" s="205" t="s">
        <v>775</v>
      </c>
      <c r="C512" s="185">
        <f>+$O$512*C405</f>
        <v>6769542.896296146</v>
      </c>
      <c r="D512" s="185">
        <f aca="true" t="shared" si="332" ref="D512:N512">+$O$512*D405</f>
        <v>11830622.901837958</v>
      </c>
      <c r="E512" s="185">
        <f t="shared" si="332"/>
        <v>79257900.40961272</v>
      </c>
      <c r="F512" s="185">
        <f t="shared" si="332"/>
        <v>5847624.467747144</v>
      </c>
      <c r="G512" s="185">
        <f t="shared" si="332"/>
        <v>5024401.141220532</v>
      </c>
      <c r="H512" s="185">
        <f t="shared" si="332"/>
        <v>3430801.0097881</v>
      </c>
      <c r="I512" s="185">
        <f t="shared" si="332"/>
        <v>1673835.1471352316</v>
      </c>
      <c r="J512" s="185">
        <f t="shared" si="332"/>
        <v>2218709.3289605547</v>
      </c>
      <c r="K512" s="185">
        <f t="shared" si="332"/>
        <v>1681918.9757849872</v>
      </c>
      <c r="L512" s="185">
        <f t="shared" si="332"/>
        <v>998292.5111653503</v>
      </c>
      <c r="M512" s="185">
        <f t="shared" si="332"/>
        <v>870389.9399886954</v>
      </c>
      <c r="N512" s="185">
        <f t="shared" si="332"/>
        <v>759592.2704625755</v>
      </c>
      <c r="O512" s="185">
        <v>120363631</v>
      </c>
    </row>
    <row r="513" spans="1:15" ht="15">
      <c r="A513" s="205" t="s">
        <v>776</v>
      </c>
      <c r="C513" s="185">
        <f>+$O$513*C406</f>
        <v>39829177.428386115</v>
      </c>
      <c r="D513" s="185">
        <f aca="true" t="shared" si="333" ref="D513:N513">+$O$513*D406</f>
        <v>62554032.20331571</v>
      </c>
      <c r="E513" s="185">
        <f t="shared" si="333"/>
        <v>245720175.95950457</v>
      </c>
      <c r="F513" s="185">
        <f t="shared" si="333"/>
        <v>22248859.065259136</v>
      </c>
      <c r="G513" s="185">
        <f t="shared" si="333"/>
        <v>15870201.326728126</v>
      </c>
      <c r="H513" s="185">
        <f t="shared" si="333"/>
        <v>10750095.158302631</v>
      </c>
      <c r="I513" s="185">
        <f t="shared" si="333"/>
        <v>8340169.860004159</v>
      </c>
      <c r="J513" s="185">
        <f t="shared" si="333"/>
        <v>7593392.485031095</v>
      </c>
      <c r="K513" s="185">
        <f t="shared" si="333"/>
        <v>6344770.626749833</v>
      </c>
      <c r="L513" s="185">
        <f t="shared" si="333"/>
        <v>4566091.294421629</v>
      </c>
      <c r="M513" s="185">
        <f t="shared" si="333"/>
        <v>4317551.232531825</v>
      </c>
      <c r="N513" s="185">
        <f t="shared" si="333"/>
        <v>3767926.359765191</v>
      </c>
      <c r="O513" s="185">
        <v>431902443</v>
      </c>
    </row>
    <row r="514" spans="1:15" ht="15">
      <c r="A514" s="205" t="s">
        <v>777</v>
      </c>
      <c r="C514" s="185">
        <f>+$O$514*C406</f>
        <v>10097537.939590845</v>
      </c>
      <c r="D514" s="185">
        <f aca="true" t="shared" si="334" ref="D514:N514">+$O$514*D406</f>
        <v>15858768.727601167</v>
      </c>
      <c r="E514" s="185">
        <f t="shared" si="334"/>
        <v>62295255.8770575</v>
      </c>
      <c r="F514" s="185">
        <f t="shared" si="334"/>
        <v>5640555.819361471</v>
      </c>
      <c r="G514" s="185">
        <f t="shared" si="334"/>
        <v>4023431.3222691026</v>
      </c>
      <c r="H514" s="185">
        <f t="shared" si="334"/>
        <v>2725376.23731616</v>
      </c>
      <c r="I514" s="185">
        <f t="shared" si="334"/>
        <v>2114409.2602827447</v>
      </c>
      <c r="J514" s="185">
        <f t="shared" si="334"/>
        <v>1925085.4187402776</v>
      </c>
      <c r="K514" s="185">
        <f t="shared" si="334"/>
        <v>1608533.3983309437</v>
      </c>
      <c r="L514" s="185">
        <f t="shared" si="334"/>
        <v>1157600.6098533708</v>
      </c>
      <c r="M514" s="185">
        <f t="shared" si="334"/>
        <v>1094590.4533179277</v>
      </c>
      <c r="N514" s="185">
        <f t="shared" si="334"/>
        <v>955248.9362784991</v>
      </c>
      <c r="O514" s="185">
        <v>109496394</v>
      </c>
    </row>
    <row r="515" spans="1:15" ht="15">
      <c r="A515" s="205" t="s">
        <v>778</v>
      </c>
      <c r="C515" s="185">
        <f>+$O$515*C406</f>
        <v>6170717.721967956</v>
      </c>
      <c r="D515" s="185">
        <f aca="true" t="shared" si="335" ref="D515:N515">+$O$515*D406</f>
        <v>9691469.9228122</v>
      </c>
      <c r="E515" s="185">
        <f t="shared" si="335"/>
        <v>38069323.60490476</v>
      </c>
      <c r="F515" s="185">
        <f t="shared" si="335"/>
        <v>3447006.385567854</v>
      </c>
      <c r="G515" s="185">
        <f t="shared" si="335"/>
        <v>2458763.622575993</v>
      </c>
      <c r="H515" s="185">
        <f t="shared" si="335"/>
        <v>1665507.725472198</v>
      </c>
      <c r="I515" s="185">
        <f t="shared" si="335"/>
        <v>1292139.01170532</v>
      </c>
      <c r="J515" s="185">
        <f t="shared" si="335"/>
        <v>1176441.1068114373</v>
      </c>
      <c r="K515" s="185">
        <f t="shared" si="335"/>
        <v>982992.647003641</v>
      </c>
      <c r="L515" s="185">
        <f t="shared" si="335"/>
        <v>707422.6054824365</v>
      </c>
      <c r="M515" s="185">
        <f t="shared" si="335"/>
        <v>668916.3981353225</v>
      </c>
      <c r="N515" s="185">
        <f t="shared" si="335"/>
        <v>583763.2475608825</v>
      </c>
      <c r="O515" s="185">
        <v>66914464</v>
      </c>
    </row>
    <row r="519" spans="1:15" ht="15">
      <c r="A519" s="204" t="s">
        <v>192</v>
      </c>
      <c r="C519" s="182">
        <f aca="true" t="shared" si="336" ref="C519:O519">SUM(C520:C543)</f>
        <v>4990333.048669883</v>
      </c>
      <c r="D519" s="182">
        <f t="shared" si="336"/>
        <v>5855946.356416807</v>
      </c>
      <c r="E519" s="182">
        <f t="shared" si="336"/>
        <v>11139081.188245643</v>
      </c>
      <c r="F519" s="182">
        <f t="shared" si="336"/>
        <v>4036457.0523823635</v>
      </c>
      <c r="G519" s="182">
        <f t="shared" si="336"/>
        <v>3570707.506294966</v>
      </c>
      <c r="H519" s="182">
        <f t="shared" si="336"/>
        <v>4294770.366472636</v>
      </c>
      <c r="I519" s="182">
        <f t="shared" si="336"/>
        <v>3311831.841138535</v>
      </c>
      <c r="J519" s="182">
        <f t="shared" si="336"/>
        <v>3168779.4778382173</v>
      </c>
      <c r="K519" s="182">
        <f t="shared" si="336"/>
        <v>4770078.692112128</v>
      </c>
      <c r="L519" s="184">
        <f t="shared" si="336"/>
        <v>4742011.056096133</v>
      </c>
      <c r="M519" s="184">
        <f t="shared" si="336"/>
        <v>3173638.1695808955</v>
      </c>
      <c r="N519" s="183">
        <f t="shared" si="336"/>
        <v>2769462.244751793</v>
      </c>
      <c r="O519" s="182">
        <f t="shared" si="336"/>
        <v>55823097</v>
      </c>
    </row>
    <row r="520" spans="1:15" ht="15">
      <c r="A520" s="205" t="s">
        <v>779</v>
      </c>
      <c r="C520" s="185">
        <f>+$O$520*C424</f>
        <v>0</v>
      </c>
      <c r="D520" s="185">
        <f aca="true" t="shared" si="337" ref="D520:N520">+$O$520*D424</f>
        <v>0</v>
      </c>
      <c r="E520" s="185">
        <f t="shared" si="337"/>
        <v>0</v>
      </c>
      <c r="F520" s="185">
        <f t="shared" si="337"/>
        <v>0</v>
      </c>
      <c r="G520" s="185">
        <f t="shared" si="337"/>
        <v>0</v>
      </c>
      <c r="H520" s="185">
        <f t="shared" si="337"/>
        <v>0</v>
      </c>
      <c r="I520" s="185">
        <f t="shared" si="337"/>
        <v>0</v>
      </c>
      <c r="J520" s="185">
        <f t="shared" si="337"/>
        <v>0</v>
      </c>
      <c r="K520" s="185">
        <f t="shared" si="337"/>
        <v>0</v>
      </c>
      <c r="L520" s="185">
        <f t="shared" si="337"/>
        <v>187825.14726673468</v>
      </c>
      <c r="M520" s="185">
        <f t="shared" si="337"/>
        <v>90333.41650805429</v>
      </c>
      <c r="N520" s="185">
        <f t="shared" si="337"/>
        <v>78836.43622521101</v>
      </c>
      <c r="O520" s="48">
        <v>356995</v>
      </c>
    </row>
    <row r="521" spans="1:15" ht="15">
      <c r="A521" s="205" t="s">
        <v>780</v>
      </c>
      <c r="C521" s="185">
        <f>+$O$521*C424</f>
        <v>0</v>
      </c>
      <c r="D521" s="185">
        <f aca="true" t="shared" si="338" ref="D521:N521">+$O$521*D424</f>
        <v>0</v>
      </c>
      <c r="E521" s="185">
        <f t="shared" si="338"/>
        <v>0</v>
      </c>
      <c r="F521" s="185">
        <f t="shared" si="338"/>
        <v>0</v>
      </c>
      <c r="G521" s="185">
        <f t="shared" si="338"/>
        <v>0</v>
      </c>
      <c r="H521" s="185">
        <f t="shared" si="338"/>
        <v>0</v>
      </c>
      <c r="I521" s="185">
        <f t="shared" si="338"/>
        <v>0</v>
      </c>
      <c r="J521" s="185">
        <f t="shared" si="338"/>
        <v>0</v>
      </c>
      <c r="K521" s="185">
        <f t="shared" si="338"/>
        <v>0</v>
      </c>
      <c r="L521" s="185">
        <f t="shared" si="338"/>
        <v>47617.76153313937</v>
      </c>
      <c r="M521" s="185">
        <f t="shared" si="338"/>
        <v>22901.48655997412</v>
      </c>
      <c r="N521" s="185">
        <f t="shared" si="338"/>
        <v>19986.751906886504</v>
      </c>
      <c r="O521" s="48">
        <v>90506</v>
      </c>
    </row>
    <row r="522" spans="1:15" ht="15">
      <c r="A522" s="205" t="s">
        <v>781</v>
      </c>
      <c r="C522" s="185">
        <f>+$O$522*C424</f>
        <v>0</v>
      </c>
      <c r="D522" s="185">
        <f aca="true" t="shared" si="339" ref="D522:N522">+$O$522*D424</f>
        <v>0</v>
      </c>
      <c r="E522" s="185">
        <f t="shared" si="339"/>
        <v>0</v>
      </c>
      <c r="F522" s="185">
        <f t="shared" si="339"/>
        <v>0</v>
      </c>
      <c r="G522" s="185">
        <f t="shared" si="339"/>
        <v>0</v>
      </c>
      <c r="H522" s="185">
        <f t="shared" si="339"/>
        <v>0</v>
      </c>
      <c r="I522" s="185">
        <f t="shared" si="339"/>
        <v>0</v>
      </c>
      <c r="J522" s="185">
        <f t="shared" si="339"/>
        <v>0</v>
      </c>
      <c r="K522" s="185">
        <f t="shared" si="339"/>
        <v>0</v>
      </c>
      <c r="L522" s="185">
        <f t="shared" si="339"/>
        <v>29099.626241756407</v>
      </c>
      <c r="M522" s="185">
        <f t="shared" si="339"/>
        <v>13995.296667023276</v>
      </c>
      <c r="N522" s="185">
        <f t="shared" si="339"/>
        <v>12214.077091220313</v>
      </c>
      <c r="O522" s="48">
        <v>55309</v>
      </c>
    </row>
    <row r="523" spans="1:15" ht="15">
      <c r="A523" s="205" t="s">
        <v>782</v>
      </c>
      <c r="C523" s="185">
        <f>+$O$523*C425</f>
        <v>58768.21436256585</v>
      </c>
      <c r="D523" s="185">
        <f aca="true" t="shared" si="340" ref="D523:N523">+$O$523*D425</f>
        <v>88152.32154384878</v>
      </c>
      <c r="E523" s="185">
        <f t="shared" si="340"/>
        <v>88152.32154384878</v>
      </c>
      <c r="F523" s="185">
        <f t="shared" si="340"/>
        <v>29384.107181282925</v>
      </c>
      <c r="G523" s="185">
        <f t="shared" si="340"/>
        <v>29384.107181282925</v>
      </c>
      <c r="H523" s="185">
        <f t="shared" si="340"/>
        <v>411377.50053796096</v>
      </c>
      <c r="I523" s="185">
        <f t="shared" si="340"/>
        <v>0</v>
      </c>
      <c r="J523" s="185">
        <f t="shared" si="340"/>
        <v>0</v>
      </c>
      <c r="K523" s="185">
        <f t="shared" si="340"/>
        <v>88152.32154384878</v>
      </c>
      <c r="L523" s="185">
        <f t="shared" si="340"/>
        <v>411377.50053796096</v>
      </c>
      <c r="M523" s="185">
        <f t="shared" si="340"/>
        <v>258995.85734181548</v>
      </c>
      <c r="N523" s="185">
        <f t="shared" si="340"/>
        <v>226032.74822558442</v>
      </c>
      <c r="O523" s="48">
        <v>1689777</v>
      </c>
    </row>
    <row r="524" spans="1:15" ht="15">
      <c r="A524" s="205" t="s">
        <v>783</v>
      </c>
      <c r="C524" s="185">
        <f>+$O$524*C425</f>
        <v>14898.978044817177</v>
      </c>
      <c r="D524" s="185">
        <f aca="true" t="shared" si="341" ref="D524:N524">+$O$524*D425</f>
        <v>22348.467067225767</v>
      </c>
      <c r="E524" s="185">
        <f t="shared" si="341"/>
        <v>22348.467067225767</v>
      </c>
      <c r="F524" s="185">
        <f t="shared" si="341"/>
        <v>7449.489022408588</v>
      </c>
      <c r="G524" s="185">
        <f t="shared" si="341"/>
        <v>7449.489022408588</v>
      </c>
      <c r="H524" s="185">
        <f t="shared" si="341"/>
        <v>104292.84631372023</v>
      </c>
      <c r="I524" s="185">
        <f t="shared" si="341"/>
        <v>0</v>
      </c>
      <c r="J524" s="185">
        <f t="shared" si="341"/>
        <v>0</v>
      </c>
      <c r="K524" s="185">
        <f t="shared" si="341"/>
        <v>22348.467067225767</v>
      </c>
      <c r="L524" s="185">
        <f t="shared" si="341"/>
        <v>104292.84631372023</v>
      </c>
      <c r="M524" s="185">
        <f t="shared" si="341"/>
        <v>65660.89567445272</v>
      </c>
      <c r="N524" s="185">
        <f t="shared" si="341"/>
        <v>57304.054406795105</v>
      </c>
      <c r="O524" s="48">
        <v>428394</v>
      </c>
    </row>
    <row r="525" spans="1:15" ht="15">
      <c r="A525" s="205" t="s">
        <v>784</v>
      </c>
      <c r="C525" s="185">
        <f>+$O$525*C425</f>
        <v>9104.95421317526</v>
      </c>
      <c r="D525" s="185">
        <f aca="true" t="shared" si="342" ref="D525:N525">+$O$525*D425</f>
        <v>13657.43131976289</v>
      </c>
      <c r="E525" s="185">
        <f t="shared" si="342"/>
        <v>13657.43131976289</v>
      </c>
      <c r="F525" s="185">
        <f t="shared" si="342"/>
        <v>4552.47710658763</v>
      </c>
      <c r="G525" s="185">
        <f t="shared" si="342"/>
        <v>4552.47710658763</v>
      </c>
      <c r="H525" s="185">
        <f t="shared" si="342"/>
        <v>63734.679492226824</v>
      </c>
      <c r="I525" s="185">
        <f t="shared" si="342"/>
        <v>0</v>
      </c>
      <c r="J525" s="185">
        <f t="shared" si="342"/>
        <v>0</v>
      </c>
      <c r="K525" s="185">
        <f t="shared" si="342"/>
        <v>13657.43131976289</v>
      </c>
      <c r="L525" s="185">
        <f t="shared" si="342"/>
        <v>63734.679492226824</v>
      </c>
      <c r="M525" s="185">
        <f t="shared" si="342"/>
        <v>40126.205093639735</v>
      </c>
      <c r="N525" s="185">
        <f t="shared" si="342"/>
        <v>35019.233536267406</v>
      </c>
      <c r="O525" s="48">
        <v>261797</v>
      </c>
    </row>
    <row r="526" spans="1:15" ht="15">
      <c r="A526" s="205" t="s">
        <v>785</v>
      </c>
      <c r="C526" s="185">
        <f>+$O$526*C426</f>
        <v>364001.0966617972</v>
      </c>
      <c r="D526" s="185">
        <f aca="true" t="shared" si="343" ref="D526:N526">+$O$526*D426</f>
        <v>260000.78332985516</v>
      </c>
      <c r="E526" s="185">
        <f t="shared" si="343"/>
        <v>286000.8616628407</v>
      </c>
      <c r="F526" s="185">
        <f t="shared" si="343"/>
        <v>338001.0183288117</v>
      </c>
      <c r="G526" s="185">
        <f t="shared" si="343"/>
        <v>260000.78332985516</v>
      </c>
      <c r="H526" s="185">
        <f t="shared" si="343"/>
        <v>190667.24110856044</v>
      </c>
      <c r="I526" s="185">
        <f t="shared" si="343"/>
        <v>182000.5483308986</v>
      </c>
      <c r="J526" s="185">
        <f t="shared" si="343"/>
        <v>156000.4699979131</v>
      </c>
      <c r="K526" s="185">
        <f t="shared" si="343"/>
        <v>442001.33166075376</v>
      </c>
      <c r="L526" s="185">
        <f t="shared" si="343"/>
        <v>121333.69888726575</v>
      </c>
      <c r="M526" s="185">
        <f t="shared" si="343"/>
        <v>62540.96280174431</v>
      </c>
      <c r="N526" s="185">
        <f t="shared" si="343"/>
        <v>54581.20389970413</v>
      </c>
      <c r="O526" s="48">
        <v>2717130</v>
      </c>
    </row>
    <row r="527" spans="1:15" ht="15">
      <c r="A527" s="205" t="s">
        <v>786</v>
      </c>
      <c r="C527" s="185">
        <f>+$O$527*C426</f>
        <v>92281.853070844</v>
      </c>
      <c r="D527" s="185">
        <f aca="true" t="shared" si="344" ref="D527:N527">+$O$527*D426</f>
        <v>65915.60933631714</v>
      </c>
      <c r="E527" s="185">
        <f t="shared" si="344"/>
        <v>72507.17026994887</v>
      </c>
      <c r="F527" s="185">
        <f t="shared" si="344"/>
        <v>85690.29213721228</v>
      </c>
      <c r="G527" s="185">
        <f t="shared" si="344"/>
        <v>65915.60933631714</v>
      </c>
      <c r="H527" s="185">
        <f t="shared" si="344"/>
        <v>48338.113513299235</v>
      </c>
      <c r="I527" s="185">
        <f t="shared" si="344"/>
        <v>46140.926535422</v>
      </c>
      <c r="J527" s="185">
        <f t="shared" si="344"/>
        <v>39549.36560179028</v>
      </c>
      <c r="K527" s="185">
        <f t="shared" si="344"/>
        <v>112056.53587173914</v>
      </c>
      <c r="L527" s="185">
        <f t="shared" si="344"/>
        <v>30760.617690281335</v>
      </c>
      <c r="M527" s="185">
        <f t="shared" si="344"/>
        <v>15855.435582772547</v>
      </c>
      <c r="N527" s="185">
        <f t="shared" si="344"/>
        <v>13837.47105405604</v>
      </c>
      <c r="O527" s="48">
        <v>688849</v>
      </c>
    </row>
    <row r="528" spans="1:15" ht="15">
      <c r="A528" s="205" t="s">
        <v>787</v>
      </c>
      <c r="C528" s="185">
        <f>+$O$528*C426</f>
        <v>56394.69648350777</v>
      </c>
      <c r="D528" s="185">
        <f aca="true" t="shared" si="345" ref="D528:N528">+$O$528*D426</f>
        <v>40281.9260596484</v>
      </c>
      <c r="E528" s="185">
        <f t="shared" si="345"/>
        <v>44310.11866561325</v>
      </c>
      <c r="F528" s="185">
        <f t="shared" si="345"/>
        <v>52366.50387754293</v>
      </c>
      <c r="G528" s="185">
        <f t="shared" si="345"/>
        <v>40281.9260596484</v>
      </c>
      <c r="H528" s="185">
        <f t="shared" si="345"/>
        <v>29540.07911040883</v>
      </c>
      <c r="I528" s="185">
        <f t="shared" si="345"/>
        <v>28197.348241753883</v>
      </c>
      <c r="J528" s="185">
        <f t="shared" si="345"/>
        <v>24169.155635789044</v>
      </c>
      <c r="K528" s="185">
        <f t="shared" si="345"/>
        <v>68479.27430140229</v>
      </c>
      <c r="L528" s="185">
        <f t="shared" si="345"/>
        <v>18798.232161169257</v>
      </c>
      <c r="M528" s="185">
        <f t="shared" si="345"/>
        <v>9689.47249702307</v>
      </c>
      <c r="N528" s="185">
        <f t="shared" si="345"/>
        <v>8456.266906492861</v>
      </c>
      <c r="O528" s="48">
        <v>420965</v>
      </c>
    </row>
    <row r="529" spans="1:15" ht="15">
      <c r="A529" s="205" t="s">
        <v>788</v>
      </c>
      <c r="C529" s="185">
        <f>+$O$529*C427</f>
        <v>70842.31578947368</v>
      </c>
      <c r="D529" s="185">
        <f aca="true" t="shared" si="346" ref="D529:N529">+$O$529*D427</f>
        <v>407343.31578947365</v>
      </c>
      <c r="E529" s="185">
        <f t="shared" si="346"/>
        <v>407343.31578947365</v>
      </c>
      <c r="F529" s="185">
        <f t="shared" si="346"/>
        <v>159395.2105263158</v>
      </c>
      <c r="G529" s="185">
        <f t="shared" si="346"/>
        <v>230237.52631578947</v>
      </c>
      <c r="H529" s="185">
        <f t="shared" si="346"/>
        <v>0</v>
      </c>
      <c r="I529" s="185">
        <f t="shared" si="346"/>
        <v>123974.05263157895</v>
      </c>
      <c r="J529" s="185">
        <f t="shared" si="346"/>
        <v>141684.63157894736</v>
      </c>
      <c r="K529" s="185">
        <f t="shared" si="346"/>
        <v>478185.63157894736</v>
      </c>
      <c r="L529" s="185">
        <f t="shared" si="346"/>
        <v>0</v>
      </c>
      <c r="M529" s="185">
        <f t="shared" si="346"/>
        <v>0</v>
      </c>
      <c r="N529" s="185">
        <f t="shared" si="346"/>
        <v>0</v>
      </c>
      <c r="O529" s="48">
        <v>2019006</v>
      </c>
    </row>
    <row r="530" spans="1:15" ht="15">
      <c r="A530" s="205" t="s">
        <v>789</v>
      </c>
      <c r="C530" s="185">
        <f>+$O$530*C427</f>
        <v>17960.035087719298</v>
      </c>
      <c r="D530" s="185">
        <f aca="true" t="shared" si="347" ref="D530:N530">+$O$530*D427</f>
        <v>103270.20175438595</v>
      </c>
      <c r="E530" s="185">
        <f t="shared" si="347"/>
        <v>103270.20175438595</v>
      </c>
      <c r="F530" s="185">
        <f t="shared" si="347"/>
        <v>40410.07894736842</v>
      </c>
      <c r="G530" s="185">
        <f t="shared" si="347"/>
        <v>58370.11403508772</v>
      </c>
      <c r="H530" s="185">
        <f t="shared" si="347"/>
        <v>0</v>
      </c>
      <c r="I530" s="185">
        <f t="shared" si="347"/>
        <v>31430.06140350877</v>
      </c>
      <c r="J530" s="185">
        <f t="shared" si="347"/>
        <v>35920.070175438595</v>
      </c>
      <c r="K530" s="185">
        <f t="shared" si="347"/>
        <v>121230.23684210525</v>
      </c>
      <c r="L530" s="185">
        <f t="shared" si="347"/>
        <v>0</v>
      </c>
      <c r="M530" s="185">
        <f t="shared" si="347"/>
        <v>0</v>
      </c>
      <c r="N530" s="185">
        <f t="shared" si="347"/>
        <v>0</v>
      </c>
      <c r="O530" s="48">
        <v>511861</v>
      </c>
    </row>
    <row r="531" spans="1:15" ht="15">
      <c r="A531" s="205" t="s">
        <v>790</v>
      </c>
      <c r="C531" s="185">
        <f>+$O$531*C427</f>
        <v>10975.57894736842</v>
      </c>
      <c r="D531" s="185">
        <f aca="true" t="shared" si="348" ref="D531:N531">+$O$531*D427</f>
        <v>63109.57894736842</v>
      </c>
      <c r="E531" s="185">
        <f t="shared" si="348"/>
        <v>63109.57894736842</v>
      </c>
      <c r="F531" s="185">
        <f t="shared" si="348"/>
        <v>24695.052631578947</v>
      </c>
      <c r="G531" s="185">
        <f t="shared" si="348"/>
        <v>35670.63157894737</v>
      </c>
      <c r="H531" s="185">
        <f t="shared" si="348"/>
        <v>0</v>
      </c>
      <c r="I531" s="185">
        <f t="shared" si="348"/>
        <v>19207.263157894737</v>
      </c>
      <c r="J531" s="185">
        <f t="shared" si="348"/>
        <v>21951.15789473684</v>
      </c>
      <c r="K531" s="185">
        <f t="shared" si="348"/>
        <v>74085.15789473684</v>
      </c>
      <c r="L531" s="185">
        <f t="shared" si="348"/>
        <v>0</v>
      </c>
      <c r="M531" s="185">
        <f t="shared" si="348"/>
        <v>0</v>
      </c>
      <c r="N531" s="185">
        <f t="shared" si="348"/>
        <v>0</v>
      </c>
      <c r="O531" s="48">
        <v>312804</v>
      </c>
    </row>
    <row r="532" spans="1:15" ht="15">
      <c r="A532" s="205" t="s">
        <v>791</v>
      </c>
      <c r="C532" s="185">
        <f>+$O$532*C428</f>
        <v>23800</v>
      </c>
      <c r="D532" s="185">
        <f aca="true" t="shared" si="349" ref="D532:N532">+$O$532*D428</f>
        <v>0</v>
      </c>
      <c r="E532" s="185">
        <f t="shared" si="349"/>
        <v>0</v>
      </c>
      <c r="F532" s="185">
        <f t="shared" si="349"/>
        <v>0</v>
      </c>
      <c r="G532" s="185">
        <f t="shared" si="349"/>
        <v>0</v>
      </c>
      <c r="H532" s="185">
        <f t="shared" si="349"/>
        <v>0</v>
      </c>
      <c r="I532" s="185">
        <f t="shared" si="349"/>
        <v>0</v>
      </c>
      <c r="J532" s="185">
        <f t="shared" si="349"/>
        <v>0</v>
      </c>
      <c r="K532" s="185">
        <f t="shared" si="349"/>
        <v>0</v>
      </c>
      <c r="L532" s="185">
        <f t="shared" si="349"/>
        <v>0</v>
      </c>
      <c r="M532" s="185">
        <f t="shared" si="349"/>
        <v>0</v>
      </c>
      <c r="N532" s="185">
        <f t="shared" si="349"/>
        <v>0</v>
      </c>
      <c r="O532" s="48">
        <v>23800</v>
      </c>
    </row>
    <row r="533" spans="1:15" ht="15">
      <c r="A533" s="205" t="s">
        <v>792</v>
      </c>
      <c r="C533" s="185">
        <f>+$O$533*C428</f>
        <v>6035</v>
      </c>
      <c r="D533" s="185">
        <f aca="true" t="shared" si="350" ref="D533:N533">+$O$533*D428</f>
        <v>0</v>
      </c>
      <c r="E533" s="185">
        <f t="shared" si="350"/>
        <v>0</v>
      </c>
      <c r="F533" s="185">
        <f t="shared" si="350"/>
        <v>0</v>
      </c>
      <c r="G533" s="185">
        <f t="shared" si="350"/>
        <v>0</v>
      </c>
      <c r="H533" s="185">
        <f t="shared" si="350"/>
        <v>0</v>
      </c>
      <c r="I533" s="185">
        <f t="shared" si="350"/>
        <v>0</v>
      </c>
      <c r="J533" s="185">
        <f t="shared" si="350"/>
        <v>0</v>
      </c>
      <c r="K533" s="185">
        <f t="shared" si="350"/>
        <v>0</v>
      </c>
      <c r="L533" s="185">
        <f t="shared" si="350"/>
        <v>0</v>
      </c>
      <c r="M533" s="185">
        <f t="shared" si="350"/>
        <v>0</v>
      </c>
      <c r="N533" s="185">
        <f t="shared" si="350"/>
        <v>0</v>
      </c>
      <c r="O533" s="48">
        <v>6035</v>
      </c>
    </row>
    <row r="534" spans="1:15" ht="15">
      <c r="A534" s="205" t="s">
        <v>793</v>
      </c>
      <c r="C534" s="185">
        <f>+$O$534*C428</f>
        <v>3686</v>
      </c>
      <c r="D534" s="185">
        <f aca="true" t="shared" si="351" ref="D534:N534">+$O$534*D428</f>
        <v>0</v>
      </c>
      <c r="E534" s="185">
        <f t="shared" si="351"/>
        <v>0</v>
      </c>
      <c r="F534" s="185">
        <f t="shared" si="351"/>
        <v>0</v>
      </c>
      <c r="G534" s="185">
        <f t="shared" si="351"/>
        <v>0</v>
      </c>
      <c r="H534" s="185">
        <f t="shared" si="351"/>
        <v>0</v>
      </c>
      <c r="I534" s="185">
        <f t="shared" si="351"/>
        <v>0</v>
      </c>
      <c r="J534" s="185">
        <f t="shared" si="351"/>
        <v>0</v>
      </c>
      <c r="K534" s="185">
        <f t="shared" si="351"/>
        <v>0</v>
      </c>
      <c r="L534" s="185">
        <f t="shared" si="351"/>
        <v>0</v>
      </c>
      <c r="M534" s="185">
        <f t="shared" si="351"/>
        <v>0</v>
      </c>
      <c r="N534" s="185">
        <f t="shared" si="351"/>
        <v>0</v>
      </c>
      <c r="O534" s="48">
        <v>3686</v>
      </c>
    </row>
    <row r="535" spans="1:15" ht="15">
      <c r="A535" s="205" t="s">
        <v>794</v>
      </c>
      <c r="C535" s="185">
        <f>+$O$535*C431</f>
        <v>414362.7694383817</v>
      </c>
      <c r="D535" s="185">
        <f aca="true" t="shared" si="352" ref="D535:N535">+$O$535*D431</f>
        <v>450518.5827399546</v>
      </c>
      <c r="E535" s="185">
        <f t="shared" si="352"/>
        <v>700965.4713210079</v>
      </c>
      <c r="F535" s="185">
        <f t="shared" si="352"/>
        <v>582208.6300024029</v>
      </c>
      <c r="G535" s="185">
        <f t="shared" si="352"/>
        <v>706967.6221457749</v>
      </c>
      <c r="H535" s="185">
        <f t="shared" si="352"/>
        <v>790140.2835746896</v>
      </c>
      <c r="I535" s="185">
        <f t="shared" si="352"/>
        <v>734691.8426220798</v>
      </c>
      <c r="J535" s="185">
        <f t="shared" si="352"/>
        <v>646588.8430156779</v>
      </c>
      <c r="K535" s="185">
        <f t="shared" si="352"/>
        <v>781208.5115140243</v>
      </c>
      <c r="L535" s="185">
        <f t="shared" si="352"/>
        <v>933691.7241337013</v>
      </c>
      <c r="M535" s="185">
        <f t="shared" si="352"/>
        <v>515535.43301570567</v>
      </c>
      <c r="N535" s="185">
        <f t="shared" si="352"/>
        <v>450249.2864765988</v>
      </c>
      <c r="O535" s="48">
        <v>7707129</v>
      </c>
    </row>
    <row r="536" spans="1:15" ht="15">
      <c r="A536" s="205" t="s">
        <v>795</v>
      </c>
      <c r="C536" s="185">
        <f>+$O$536*C431</f>
        <v>105049.7146811793</v>
      </c>
      <c r="D536" s="185">
        <f aca="true" t="shared" si="353" ref="D536:N536">+$O$536*D431</f>
        <v>114215.97707619167</v>
      </c>
      <c r="E536" s="185">
        <f t="shared" si="353"/>
        <v>177709.55354757182</v>
      </c>
      <c r="F536" s="185">
        <f t="shared" si="353"/>
        <v>147602.18576000156</v>
      </c>
      <c r="G536" s="185">
        <f t="shared" si="353"/>
        <v>179231.22556571616</v>
      </c>
      <c r="H536" s="185">
        <f t="shared" si="353"/>
        <v>200317.25210285926</v>
      </c>
      <c r="I536" s="185">
        <f t="shared" si="353"/>
        <v>186259.90107809717</v>
      </c>
      <c r="J536" s="185">
        <f t="shared" si="353"/>
        <v>163923.929668907</v>
      </c>
      <c r="K536" s="185">
        <f t="shared" si="353"/>
        <v>198052.8592187159</v>
      </c>
      <c r="L536" s="185">
        <f t="shared" si="353"/>
        <v>236710.5745368115</v>
      </c>
      <c r="M536" s="185">
        <f t="shared" si="353"/>
        <v>130699.12197889092</v>
      </c>
      <c r="N536" s="185">
        <f t="shared" si="353"/>
        <v>114147.70478505758</v>
      </c>
      <c r="O536" s="48">
        <v>1953920</v>
      </c>
    </row>
    <row r="537" spans="1:15" ht="15">
      <c r="A537" s="205" t="s">
        <v>796</v>
      </c>
      <c r="C537" s="185">
        <f>+$O$537*C431</f>
        <v>64197.08967683068</v>
      </c>
      <c r="D537" s="185">
        <f aca="true" t="shared" si="354" ref="D537:N537">+$O$537*D431</f>
        <v>69798.69812250689</v>
      </c>
      <c r="E537" s="185">
        <f t="shared" si="354"/>
        <v>108600.3534626158</v>
      </c>
      <c r="F537" s="185">
        <f t="shared" si="354"/>
        <v>90201.39449677814</v>
      </c>
      <c r="G537" s="185">
        <f t="shared" si="354"/>
        <v>109530.26474608773</v>
      </c>
      <c r="H537" s="185">
        <f t="shared" si="354"/>
        <v>122416.17824562747</v>
      </c>
      <c r="I537" s="185">
        <f t="shared" si="354"/>
        <v>113825.56924593431</v>
      </c>
      <c r="J537" s="185">
        <f t="shared" si="354"/>
        <v>100175.80004925691</v>
      </c>
      <c r="K537" s="185">
        <f t="shared" si="354"/>
        <v>121032.38169284185</v>
      </c>
      <c r="L537" s="185">
        <f t="shared" si="354"/>
        <v>144656.55644199802</v>
      </c>
      <c r="M537" s="185">
        <f t="shared" si="354"/>
        <v>79871.73767988475</v>
      </c>
      <c r="N537" s="185">
        <f t="shared" si="354"/>
        <v>69756.97613963735</v>
      </c>
      <c r="O537" s="48">
        <v>1194063</v>
      </c>
    </row>
    <row r="538" spans="1:15" ht="15">
      <c r="A538" s="205" t="s">
        <v>797</v>
      </c>
      <c r="C538" s="185">
        <f>+$O$538*C432</f>
        <v>2542957.2717949604</v>
      </c>
      <c r="D538" s="185">
        <f aca="true" t="shared" si="355" ref="D538:N538">+$O$538*D432</f>
        <v>2883301.9702209304</v>
      </c>
      <c r="E538" s="185">
        <f t="shared" si="355"/>
        <v>6186868.587601254</v>
      </c>
      <c r="F538" s="185">
        <f t="shared" si="355"/>
        <v>1654288.1454771047</v>
      </c>
      <c r="G538" s="185">
        <f t="shared" si="355"/>
        <v>1240207.3141354804</v>
      </c>
      <c r="H538" s="185">
        <f t="shared" si="355"/>
        <v>1622899.4094907169</v>
      </c>
      <c r="I538" s="185">
        <f t="shared" si="355"/>
        <v>1310734.124917863</v>
      </c>
      <c r="J538" s="185">
        <f t="shared" si="355"/>
        <v>1237154.544301393</v>
      </c>
      <c r="K538" s="185">
        <f t="shared" si="355"/>
        <v>1460398.1229377468</v>
      </c>
      <c r="L538" s="185">
        <f t="shared" si="355"/>
        <v>1678397.1995514375</v>
      </c>
      <c r="M538" s="185">
        <f t="shared" si="355"/>
        <v>1242684.7754489852</v>
      </c>
      <c r="N538" s="185">
        <f t="shared" si="355"/>
        <v>1084883.5341221301</v>
      </c>
      <c r="O538" s="48">
        <v>24144775</v>
      </c>
    </row>
    <row r="539" spans="1:15" ht="15">
      <c r="A539" s="205" t="s">
        <v>798</v>
      </c>
      <c r="C539" s="185">
        <f>+$O$539*C432</f>
        <v>644693.3335135254</v>
      </c>
      <c r="D539" s="185">
        <f aca="true" t="shared" si="356" ref="D539:N539">+$O$539*D432</f>
        <v>730977.8970040542</v>
      </c>
      <c r="E539" s="185">
        <f t="shared" si="356"/>
        <v>1568501.7510873748</v>
      </c>
      <c r="F539" s="185">
        <f t="shared" si="356"/>
        <v>419396.956027791</v>
      </c>
      <c r="G539" s="185">
        <f t="shared" si="356"/>
        <v>314418.7267580354</v>
      </c>
      <c r="H539" s="185">
        <f t="shared" si="356"/>
        <v>411439.24904533883</v>
      </c>
      <c r="I539" s="185">
        <f t="shared" si="356"/>
        <v>332298.76164878206</v>
      </c>
      <c r="J539" s="185">
        <f t="shared" si="356"/>
        <v>313644.7851811885</v>
      </c>
      <c r="K539" s="185">
        <f t="shared" si="356"/>
        <v>370241.74357010017</v>
      </c>
      <c r="L539" s="185">
        <f t="shared" si="356"/>
        <v>425509.1100193004</v>
      </c>
      <c r="M539" s="185">
        <f t="shared" si="356"/>
        <v>315046.8154839332</v>
      </c>
      <c r="N539" s="185">
        <f t="shared" si="356"/>
        <v>275040.8706605766</v>
      </c>
      <c r="O539" s="48">
        <v>6121210</v>
      </c>
    </row>
    <row r="540" spans="1:15" ht="15">
      <c r="A540" s="205" t="s">
        <v>799</v>
      </c>
      <c r="C540" s="185">
        <f>+$O$540*C432</f>
        <v>393979.2125599435</v>
      </c>
      <c r="D540" s="185">
        <f aca="true" t="shared" si="357" ref="D540:N540">+$O$540*D432</f>
        <v>446708.66176148976</v>
      </c>
      <c r="E540" s="185">
        <f t="shared" si="357"/>
        <v>958528.7340020739</v>
      </c>
      <c r="F540" s="185">
        <f t="shared" si="357"/>
        <v>256298.10934348652</v>
      </c>
      <c r="G540" s="185">
        <f t="shared" si="357"/>
        <v>192144.75463415348</v>
      </c>
      <c r="H540" s="185">
        <f t="shared" si="357"/>
        <v>251435.066765331</v>
      </c>
      <c r="I540" s="185">
        <f t="shared" si="357"/>
        <v>203071.4413247223</v>
      </c>
      <c r="J540" s="185">
        <f t="shared" si="357"/>
        <v>191671.79039338525</v>
      </c>
      <c r="K540" s="185">
        <f t="shared" si="357"/>
        <v>226258.81641059087</v>
      </c>
      <c r="L540" s="185">
        <f t="shared" si="357"/>
        <v>260033.3141167331</v>
      </c>
      <c r="M540" s="185">
        <f t="shared" si="357"/>
        <v>192528.5865877094</v>
      </c>
      <c r="N540" s="185">
        <f t="shared" si="357"/>
        <v>168080.51210038125</v>
      </c>
      <c r="O540" s="48">
        <v>3740739</v>
      </c>
    </row>
    <row r="541" spans="1:15" ht="15">
      <c r="A541" s="205" t="s">
        <v>801</v>
      </c>
      <c r="C541" s="185">
        <f>+$O$541*C434</f>
        <v>68404.94754856458</v>
      </c>
      <c r="D541" s="185">
        <f aca="true" t="shared" si="358" ref="D541:N541">+$O$541*D434</f>
        <v>68404.94754856458</v>
      </c>
      <c r="E541" s="185">
        <f t="shared" si="358"/>
        <v>239417.31641997604</v>
      </c>
      <c r="F541" s="185">
        <f t="shared" si="358"/>
        <v>102607.42132284687</v>
      </c>
      <c r="G541" s="185">
        <f t="shared" si="358"/>
        <v>68404.94754856458</v>
      </c>
      <c r="H541" s="185">
        <f t="shared" si="358"/>
        <v>34202.47377428229</v>
      </c>
      <c r="I541" s="185">
        <f t="shared" si="358"/>
        <v>0</v>
      </c>
      <c r="J541" s="185">
        <f t="shared" si="358"/>
        <v>68404.94754856458</v>
      </c>
      <c r="K541" s="185">
        <f t="shared" si="358"/>
        <v>136809.89509712916</v>
      </c>
      <c r="L541" s="185">
        <f t="shared" si="358"/>
        <v>34202.47377428229</v>
      </c>
      <c r="M541" s="185">
        <f t="shared" si="358"/>
        <v>83192.64987998901</v>
      </c>
      <c r="N541" s="185">
        <f t="shared" si="358"/>
        <v>71734.97953723602</v>
      </c>
      <c r="O541" s="48">
        <v>975787</v>
      </c>
    </row>
    <row r="542" spans="1:15" ht="15">
      <c r="A542" s="205" t="s">
        <v>802</v>
      </c>
      <c r="C542" s="185">
        <f>+$O$542*C434</f>
        <v>17342.126037143917</v>
      </c>
      <c r="D542" s="185">
        <f aca="true" t="shared" si="359" ref="D542:N542">+$O$542*D434</f>
        <v>17342.126037143917</v>
      </c>
      <c r="E542" s="185">
        <f t="shared" si="359"/>
        <v>60697.44113000372</v>
      </c>
      <c r="F542" s="185">
        <f t="shared" si="359"/>
        <v>26013.189055715877</v>
      </c>
      <c r="G542" s="185">
        <f t="shared" si="359"/>
        <v>17342.126037143917</v>
      </c>
      <c r="H542" s="185">
        <f t="shared" si="359"/>
        <v>8671.063018571958</v>
      </c>
      <c r="I542" s="185">
        <f t="shared" si="359"/>
        <v>0</v>
      </c>
      <c r="J542" s="185">
        <f t="shared" si="359"/>
        <v>17342.126037143917</v>
      </c>
      <c r="K542" s="185">
        <f t="shared" si="359"/>
        <v>34684.25207428783</v>
      </c>
      <c r="L542" s="185">
        <f t="shared" si="359"/>
        <v>8671.063018571958</v>
      </c>
      <c r="M542" s="185">
        <f t="shared" si="359"/>
        <v>21091.126757439197</v>
      </c>
      <c r="N542" s="185">
        <f t="shared" si="359"/>
        <v>18186.360796833796</v>
      </c>
      <c r="O542" s="48">
        <v>247383</v>
      </c>
    </row>
    <row r="543" spans="1:15" ht="15">
      <c r="A543" s="205" t="s">
        <v>800</v>
      </c>
      <c r="C543" s="185">
        <f>+$O$543*C434</f>
        <v>10597.860758084857</v>
      </c>
      <c r="D543" s="185">
        <f aca="true" t="shared" si="360" ref="D543:N543">+$O$543*D434</f>
        <v>10597.860758084857</v>
      </c>
      <c r="E543" s="185">
        <f t="shared" si="360"/>
        <v>37092.512653297</v>
      </c>
      <c r="F543" s="185">
        <f t="shared" si="360"/>
        <v>15896.791137127284</v>
      </c>
      <c r="G543" s="185">
        <f t="shared" si="360"/>
        <v>10597.860758084857</v>
      </c>
      <c r="H543" s="185">
        <f t="shared" si="360"/>
        <v>5298.930379042428</v>
      </c>
      <c r="I543" s="185">
        <f t="shared" si="360"/>
        <v>0</v>
      </c>
      <c r="J543" s="185">
        <f t="shared" si="360"/>
        <v>10597.860758084857</v>
      </c>
      <c r="K543" s="185">
        <f t="shared" si="360"/>
        <v>21195.721516169713</v>
      </c>
      <c r="L543" s="185">
        <f t="shared" si="360"/>
        <v>5298.930379042428</v>
      </c>
      <c r="M543" s="185">
        <f t="shared" si="360"/>
        <v>12888.894021858356</v>
      </c>
      <c r="N543" s="185">
        <f t="shared" si="360"/>
        <v>11113.776881123371</v>
      </c>
      <c r="O543" s="48">
        <v>151177</v>
      </c>
    </row>
    <row r="546" spans="1:15" ht="15">
      <c r="A546" s="204" t="s">
        <v>803</v>
      </c>
      <c r="C546" s="182">
        <f>+$O$546*C438</f>
        <v>4225476.898308596</v>
      </c>
      <c r="D546" s="182">
        <f aca="true" t="shared" si="361" ref="D546:N546">+$O$546*D438</f>
        <v>5916424.233620987</v>
      </c>
      <c r="E546" s="182">
        <f t="shared" si="361"/>
        <v>18547460.369209528</v>
      </c>
      <c r="F546" s="182">
        <f t="shared" si="361"/>
        <v>2617752.921781153</v>
      </c>
      <c r="G546" s="182">
        <f t="shared" si="361"/>
        <v>1989794.8509492578</v>
      </c>
      <c r="H546" s="182">
        <f t="shared" si="361"/>
        <v>1800650.8537107352</v>
      </c>
      <c r="I546" s="182">
        <f t="shared" si="361"/>
        <v>1441277.2589575422</v>
      </c>
      <c r="J546" s="182">
        <f t="shared" si="361"/>
        <v>1282396.3012771832</v>
      </c>
      <c r="K546" s="182">
        <f t="shared" si="361"/>
        <v>1161344.1430445288</v>
      </c>
      <c r="L546" s="182">
        <f t="shared" si="361"/>
        <v>1047857.7447014152</v>
      </c>
      <c r="M546" s="182">
        <f t="shared" si="361"/>
        <v>569323.4316879531</v>
      </c>
      <c r="N546" s="182">
        <f t="shared" si="361"/>
        <v>496502.99275112187</v>
      </c>
      <c r="O546" s="48">
        <v>41096262</v>
      </c>
    </row>
    <row r="547" spans="1:15" ht="15">
      <c r="A547" s="204" t="s">
        <v>804</v>
      </c>
      <c r="C547" s="182">
        <f>+$O$547*C438</f>
        <v>1071247.5977447936</v>
      </c>
      <c r="D547" s="182">
        <f aca="true" t="shared" si="362" ref="D547:N547">+$O$547*D438</f>
        <v>1499938.444827983</v>
      </c>
      <c r="E547" s="182">
        <f t="shared" si="362"/>
        <v>4702172.758946036</v>
      </c>
      <c r="F547" s="182">
        <f t="shared" si="362"/>
        <v>663655.6290415373</v>
      </c>
      <c r="G547" s="182">
        <f t="shared" si="362"/>
        <v>504455.00126567716</v>
      </c>
      <c r="H547" s="182">
        <f t="shared" si="362"/>
        <v>456503.004947647</v>
      </c>
      <c r="I547" s="182">
        <f t="shared" si="362"/>
        <v>365394.21194338973</v>
      </c>
      <c r="J547" s="182">
        <f t="shared" si="362"/>
        <v>325114.5350362444</v>
      </c>
      <c r="K547" s="182">
        <f t="shared" si="362"/>
        <v>294425.2573927051</v>
      </c>
      <c r="L547" s="182">
        <f t="shared" si="362"/>
        <v>265654.059601887</v>
      </c>
      <c r="M547" s="182">
        <f t="shared" si="362"/>
        <v>144335.50891727075</v>
      </c>
      <c r="N547" s="182">
        <f t="shared" si="362"/>
        <v>125873.99033482914</v>
      </c>
      <c r="O547" s="59">
        <v>10418770</v>
      </c>
    </row>
    <row r="548" spans="1:15" ht="15">
      <c r="A548" s="204" t="s">
        <v>805</v>
      </c>
      <c r="C548" s="182">
        <f>+$O$548*C438</f>
        <v>654651.5039466114</v>
      </c>
      <c r="D548" s="182">
        <f aca="true" t="shared" si="363" ref="D548:N548">+$O$548*D438</f>
        <v>916629.3215510298</v>
      </c>
      <c r="E548" s="182">
        <f t="shared" si="363"/>
        <v>2873550.871844437</v>
      </c>
      <c r="F548" s="182">
        <f t="shared" si="363"/>
        <v>405567.44917730987</v>
      </c>
      <c r="G548" s="182">
        <f t="shared" si="363"/>
        <v>308278.147785065</v>
      </c>
      <c r="H548" s="182">
        <f t="shared" si="363"/>
        <v>278974.14134161774</v>
      </c>
      <c r="I548" s="182">
        <f t="shared" si="363"/>
        <v>223296.52909906802</v>
      </c>
      <c r="J548" s="182">
        <f t="shared" si="363"/>
        <v>198681.1636865723</v>
      </c>
      <c r="K548" s="182">
        <f t="shared" si="363"/>
        <v>179926.5995627661</v>
      </c>
      <c r="L548" s="182">
        <f t="shared" si="363"/>
        <v>162344.19569669775</v>
      </c>
      <c r="M548" s="182">
        <f t="shared" si="363"/>
        <v>88205.05939477621</v>
      </c>
      <c r="N548" s="182">
        <f t="shared" si="363"/>
        <v>76923.01691404902</v>
      </c>
      <c r="O548" s="59">
        <v>6367028</v>
      </c>
    </row>
    <row r="551" spans="1:15" ht="15">
      <c r="A551" s="204" t="s">
        <v>205</v>
      </c>
      <c r="C551" s="182">
        <f aca="true" t="shared" si="364" ref="C551:O551">SUM(C552:C561)</f>
        <v>9317913.39700809</v>
      </c>
      <c r="D551" s="182">
        <f t="shared" si="364"/>
        <v>10956875.788269022</v>
      </c>
      <c r="E551" s="182">
        <f t="shared" si="364"/>
        <v>18673958.03499282</v>
      </c>
      <c r="F551" s="182">
        <f t="shared" si="364"/>
        <v>7838966.769963277</v>
      </c>
      <c r="G551" s="182">
        <f t="shared" si="364"/>
        <v>7607648.444860456</v>
      </c>
      <c r="H551" s="182">
        <f t="shared" si="364"/>
        <v>7938723.308974831</v>
      </c>
      <c r="I551" s="182">
        <f t="shared" si="364"/>
        <v>6995753.296713901</v>
      </c>
      <c r="J551" s="182">
        <f t="shared" si="364"/>
        <v>7883450.496743554</v>
      </c>
      <c r="K551" s="182">
        <f t="shared" si="364"/>
        <v>7729020.603232918</v>
      </c>
      <c r="L551" s="184">
        <f t="shared" si="364"/>
        <v>7401890.209950943</v>
      </c>
      <c r="M551" s="184">
        <f t="shared" si="364"/>
        <v>3843406.3246450964</v>
      </c>
      <c r="N551" s="183">
        <f t="shared" si="364"/>
        <v>3843406.3246450964</v>
      </c>
      <c r="O551" s="182">
        <f t="shared" si="364"/>
        <v>100031013</v>
      </c>
    </row>
    <row r="552" spans="1:15" ht="15">
      <c r="A552" s="205" t="s">
        <v>806</v>
      </c>
      <c r="C552" s="185">
        <f>+$O$552*C447</f>
        <v>3906938.608990926</v>
      </c>
      <c r="D552" s="185">
        <f aca="true" t="shared" si="365" ref="D552:N552">+$O$552*D447</f>
        <v>4630844.935162578</v>
      </c>
      <c r="E552" s="185">
        <f t="shared" si="365"/>
        <v>9432337.763591427</v>
      </c>
      <c r="F552" s="185">
        <f t="shared" si="365"/>
        <v>2922569.708886546</v>
      </c>
      <c r="G552" s="185">
        <f t="shared" si="365"/>
        <v>2577681.335127347</v>
      </c>
      <c r="H552" s="185">
        <f t="shared" si="365"/>
        <v>2787847.6878868584</v>
      </c>
      <c r="I552" s="185">
        <f t="shared" si="365"/>
        <v>2615403.501007259</v>
      </c>
      <c r="J552" s="185">
        <f t="shared" si="365"/>
        <v>2755514.402846934</v>
      </c>
      <c r="K552" s="185">
        <f t="shared" si="365"/>
        <v>2877662.368553316</v>
      </c>
      <c r="L552" s="185">
        <f t="shared" si="365"/>
        <v>2629773.8499138923</v>
      </c>
      <c r="M552" s="185">
        <f t="shared" si="365"/>
        <v>1307498.9190164579</v>
      </c>
      <c r="N552" s="185">
        <f t="shared" si="365"/>
        <v>1307498.9190164579</v>
      </c>
      <c r="O552" s="48">
        <v>39751572</v>
      </c>
    </row>
    <row r="553" spans="1:15" ht="15">
      <c r="A553" s="205" t="s">
        <v>807</v>
      </c>
      <c r="C553" s="185">
        <f>+$O$553*C447</f>
        <v>990491.4464972888</v>
      </c>
      <c r="D553" s="185">
        <f aca="true" t="shared" si="366" ref="D553:N553">+$O$553*D447</f>
        <v>1174016.9880781656</v>
      </c>
      <c r="E553" s="185">
        <f t="shared" si="366"/>
        <v>2391296.8209458683</v>
      </c>
      <c r="F553" s="185">
        <f t="shared" si="366"/>
        <v>740933.1418165927</v>
      </c>
      <c r="G553" s="185">
        <f t="shared" si="366"/>
        <v>653496.6555051078</v>
      </c>
      <c r="H553" s="185">
        <f t="shared" si="366"/>
        <v>706778.2643511688</v>
      </c>
      <c r="I553" s="185">
        <f t="shared" si="366"/>
        <v>663060.0211954264</v>
      </c>
      <c r="J553" s="185">
        <f t="shared" si="366"/>
        <v>698581.0937594671</v>
      </c>
      <c r="K553" s="185">
        <f t="shared" si="366"/>
        <v>729548.1826614513</v>
      </c>
      <c r="L553" s="185">
        <f t="shared" si="366"/>
        <v>666703.2081250716</v>
      </c>
      <c r="M553" s="185">
        <f t="shared" si="366"/>
        <v>331478.58853219583</v>
      </c>
      <c r="N553" s="185">
        <f t="shared" si="366"/>
        <v>331478.58853219583</v>
      </c>
      <c r="O553" s="48">
        <v>10077863</v>
      </c>
    </row>
    <row r="554" spans="1:15" ht="15">
      <c r="A554" s="205" t="s">
        <v>808</v>
      </c>
      <c r="C554" s="185">
        <f>+$O$554*C447</f>
        <v>605300.3229547944</v>
      </c>
      <c r="D554" s="185">
        <f aca="true" t="shared" si="367" ref="D554:N554">+$O$554*D447</f>
        <v>717454.8195758436</v>
      </c>
      <c r="E554" s="185">
        <f t="shared" si="367"/>
        <v>1461348.0440623567</v>
      </c>
      <c r="F554" s="185">
        <f t="shared" si="367"/>
        <v>452792.47147009225</v>
      </c>
      <c r="G554" s="185">
        <f t="shared" si="367"/>
        <v>399359.06365063455</v>
      </c>
      <c r="H554" s="185">
        <f t="shared" si="367"/>
        <v>431920.0465406165</v>
      </c>
      <c r="I554" s="185">
        <f t="shared" si="367"/>
        <v>405203.34263088764</v>
      </c>
      <c r="J554" s="185">
        <f t="shared" si="367"/>
        <v>426910.66455754236</v>
      </c>
      <c r="K554" s="185">
        <f t="shared" si="367"/>
        <v>445834.99649360025</v>
      </c>
      <c r="L554" s="185">
        <f t="shared" si="367"/>
        <v>407429.73462336505</v>
      </c>
      <c r="M554" s="185">
        <f t="shared" si="367"/>
        <v>202570.24672013335</v>
      </c>
      <c r="N554" s="185">
        <f t="shared" si="367"/>
        <v>202570.24672013335</v>
      </c>
      <c r="O554" s="48">
        <v>6158694</v>
      </c>
    </row>
    <row r="555" spans="1:15" ht="15">
      <c r="A555" s="205" t="s">
        <v>809</v>
      </c>
      <c r="C555" s="185">
        <f>+$O$555*C448</f>
        <v>2560562.1539113247</v>
      </c>
      <c r="D555" s="185">
        <f aca="true" t="shared" si="368" ref="D555:N555">+$O$555*D448</f>
        <v>2990102.710674951</v>
      </c>
      <c r="E555" s="185">
        <f t="shared" si="368"/>
        <v>3598966.0241457215</v>
      </c>
      <c r="F555" s="185">
        <f t="shared" si="368"/>
        <v>2489667.1105619883</v>
      </c>
      <c r="G555" s="185">
        <f t="shared" si="368"/>
        <v>2694011.647274781</v>
      </c>
      <c r="H555" s="185">
        <f t="shared" si="368"/>
        <v>2694011.647274781</v>
      </c>
      <c r="I555" s="185">
        <f t="shared" si="368"/>
        <v>2210257.233832251</v>
      </c>
      <c r="J555" s="185">
        <f t="shared" si="368"/>
        <v>2739884.9106184696</v>
      </c>
      <c r="K555" s="185">
        <f t="shared" si="368"/>
        <v>2456304.737221124</v>
      </c>
      <c r="L555" s="185">
        <f t="shared" si="368"/>
        <v>2493837.407229596</v>
      </c>
      <c r="M555" s="185">
        <f t="shared" si="368"/>
        <v>1303217.7086275064</v>
      </c>
      <c r="N555" s="185">
        <f t="shared" si="368"/>
        <v>1303217.7086275064</v>
      </c>
      <c r="O555" s="48">
        <v>29534041</v>
      </c>
    </row>
    <row r="556" spans="1:15" ht="15">
      <c r="A556" s="205" t="s">
        <v>810</v>
      </c>
      <c r="C556" s="185">
        <f>+$O$556*C448</f>
        <v>649156.5718723525</v>
      </c>
      <c r="D556" s="185">
        <f aca="true" t="shared" si="369" ref="D556:N556">+$O$556*D448</f>
        <v>758054.1726913302</v>
      </c>
      <c r="E556" s="185">
        <f t="shared" si="369"/>
        <v>912413.87870658</v>
      </c>
      <c r="F556" s="185">
        <f t="shared" si="369"/>
        <v>631183.1814459192</v>
      </c>
      <c r="G556" s="185">
        <f t="shared" si="369"/>
        <v>682988.836204462</v>
      </c>
      <c r="H556" s="185">
        <f t="shared" si="369"/>
        <v>682988.836204462</v>
      </c>
      <c r="I556" s="185">
        <f t="shared" si="369"/>
        <v>560346.8780005648</v>
      </c>
      <c r="J556" s="185">
        <f t="shared" si="369"/>
        <v>694618.6770686248</v>
      </c>
      <c r="K556" s="185">
        <f t="shared" si="369"/>
        <v>622725.1153628919</v>
      </c>
      <c r="L556" s="185">
        <f t="shared" si="369"/>
        <v>632240.4397062976</v>
      </c>
      <c r="M556" s="185">
        <f t="shared" si="369"/>
        <v>330393.2063682575</v>
      </c>
      <c r="N556" s="185">
        <f t="shared" si="369"/>
        <v>330393.2063682575</v>
      </c>
      <c r="O556" s="48">
        <v>7487503</v>
      </c>
    </row>
    <row r="557" spans="1:15" ht="15">
      <c r="A557" s="205" t="s">
        <v>811</v>
      </c>
      <c r="C557" s="185">
        <f>+$O$557*C448</f>
        <v>396706.8565377012</v>
      </c>
      <c r="D557" s="185">
        <f aca="true" t="shared" si="370" ref="D557:N557">+$O$557*D448</f>
        <v>463255.40087545896</v>
      </c>
      <c r="E557" s="185">
        <f t="shared" si="370"/>
        <v>557586.3472182999</v>
      </c>
      <c r="F557" s="185">
        <f t="shared" si="370"/>
        <v>385723.11621011014</v>
      </c>
      <c r="G557" s="185">
        <f t="shared" si="370"/>
        <v>417382.13244846085</v>
      </c>
      <c r="H557" s="185">
        <f t="shared" si="370"/>
        <v>417382.13244846085</v>
      </c>
      <c r="I557" s="185">
        <f t="shared" si="370"/>
        <v>342434.25727195706</v>
      </c>
      <c r="J557" s="185">
        <f t="shared" si="370"/>
        <v>424489.25854278455</v>
      </c>
      <c r="K557" s="185">
        <f t="shared" si="370"/>
        <v>380554.29723242024</v>
      </c>
      <c r="L557" s="185">
        <f t="shared" si="370"/>
        <v>386369.21858232137</v>
      </c>
      <c r="M557" s="185">
        <f t="shared" si="370"/>
        <v>201906.99131601243</v>
      </c>
      <c r="N557" s="185">
        <f t="shared" si="370"/>
        <v>201906.99131601243</v>
      </c>
      <c r="O557" s="48">
        <v>4575697</v>
      </c>
    </row>
    <row r="558" spans="1:15" ht="15">
      <c r="A558" s="205" t="s">
        <v>812</v>
      </c>
      <c r="C558" s="185">
        <f>+$O$558*C449</f>
        <v>16943.68302532427</v>
      </c>
      <c r="D558" s="185">
        <f aca="true" t="shared" si="371" ref="D558:N558">+$O$558*D449</f>
        <v>0</v>
      </c>
      <c r="E558" s="185">
        <f t="shared" si="371"/>
        <v>14451.96493336482</v>
      </c>
      <c r="F558" s="185">
        <f t="shared" si="371"/>
        <v>24418.837301202624</v>
      </c>
      <c r="G558" s="185">
        <f t="shared" si="371"/>
        <v>2990.061710351342</v>
      </c>
      <c r="H558" s="185">
        <f t="shared" si="371"/>
        <v>2990.061710351342</v>
      </c>
      <c r="I558" s="185">
        <f t="shared" si="371"/>
        <v>996.6872367837807</v>
      </c>
      <c r="J558" s="185">
        <f t="shared" si="371"/>
        <v>0</v>
      </c>
      <c r="K558" s="185">
        <f t="shared" si="371"/>
        <v>1993.3744735675614</v>
      </c>
      <c r="L558" s="185">
        <f t="shared" si="371"/>
        <v>4983.436183918903</v>
      </c>
      <c r="M558" s="185">
        <f t="shared" si="371"/>
        <v>966.9467125676757</v>
      </c>
      <c r="N558" s="185">
        <f t="shared" si="371"/>
        <v>966.9467125676757</v>
      </c>
      <c r="O558" s="48">
        <v>71702</v>
      </c>
    </row>
    <row r="559" spans="1:15" ht="15">
      <c r="A559" s="205" t="s">
        <v>813</v>
      </c>
      <c r="C559" s="185">
        <f>+$O$559*C449</f>
        <v>4295.588268588667</v>
      </c>
      <c r="D559" s="185">
        <f aca="true" t="shared" si="372" ref="D559:N559">+$O$559*D449</f>
        <v>0</v>
      </c>
      <c r="E559" s="185">
        <f t="shared" si="372"/>
        <v>3663.884111443275</v>
      </c>
      <c r="F559" s="185">
        <f t="shared" si="372"/>
        <v>6190.700740024843</v>
      </c>
      <c r="G559" s="185">
        <f t="shared" si="372"/>
        <v>758.0449885744706</v>
      </c>
      <c r="H559" s="185">
        <f t="shared" si="372"/>
        <v>758.0449885744706</v>
      </c>
      <c r="I559" s="185">
        <f t="shared" si="372"/>
        <v>252.6816628581569</v>
      </c>
      <c r="J559" s="185">
        <f t="shared" si="372"/>
        <v>0</v>
      </c>
      <c r="K559" s="185">
        <f t="shared" si="372"/>
        <v>505.3633257163138</v>
      </c>
      <c r="L559" s="185">
        <f t="shared" si="372"/>
        <v>1263.4083142907843</v>
      </c>
      <c r="M559" s="185">
        <f t="shared" si="372"/>
        <v>245.1417999645088</v>
      </c>
      <c r="N559" s="185">
        <f t="shared" si="372"/>
        <v>245.1417999645088</v>
      </c>
      <c r="O559" s="48">
        <v>18178</v>
      </c>
    </row>
    <row r="560" spans="1:15" ht="15">
      <c r="A560" s="205" t="s">
        <v>814</v>
      </c>
      <c r="C560" s="185">
        <f>+$O$560*C449</f>
        <v>2625.134232355127</v>
      </c>
      <c r="D560" s="185">
        <f aca="true" t="shared" si="373" ref="D560:N560">+$O$560*D449</f>
        <v>0</v>
      </c>
      <c r="E560" s="185">
        <f t="shared" si="373"/>
        <v>2239.0850805381965</v>
      </c>
      <c r="F560" s="185">
        <f t="shared" si="373"/>
        <v>3783.2816878059184</v>
      </c>
      <c r="G560" s="185">
        <f t="shared" si="373"/>
        <v>463.25898218031654</v>
      </c>
      <c r="H560" s="185">
        <f t="shared" si="373"/>
        <v>463.25898218031654</v>
      </c>
      <c r="I560" s="185">
        <f t="shared" si="373"/>
        <v>154.41966072677218</v>
      </c>
      <c r="J560" s="185">
        <f t="shared" si="373"/>
        <v>0</v>
      </c>
      <c r="K560" s="185">
        <f t="shared" si="373"/>
        <v>308.83932145354436</v>
      </c>
      <c r="L560" s="185">
        <f t="shared" si="373"/>
        <v>772.0983036338608</v>
      </c>
      <c r="M560" s="185">
        <f t="shared" si="373"/>
        <v>149.8118745629733</v>
      </c>
      <c r="N560" s="185">
        <f t="shared" si="373"/>
        <v>149.8118745629733</v>
      </c>
      <c r="O560" s="48">
        <v>11109</v>
      </c>
    </row>
    <row r="561" spans="1:15" ht="15">
      <c r="A561" s="205" t="s">
        <v>815</v>
      </c>
      <c r="C561" s="185">
        <f>+$O$561*C450</f>
        <v>184893.0307174323</v>
      </c>
      <c r="D561" s="185">
        <f aca="true" t="shared" si="374" ref="D561:N561">+$O$561*D450</f>
        <v>223146.76121069415</v>
      </c>
      <c r="E561" s="185">
        <f t="shared" si="374"/>
        <v>299654.22219721787</v>
      </c>
      <c r="F561" s="185">
        <f t="shared" si="374"/>
        <v>181705.2198429938</v>
      </c>
      <c r="G561" s="185">
        <f t="shared" si="374"/>
        <v>178517.40896855533</v>
      </c>
      <c r="H561" s="185">
        <f t="shared" si="374"/>
        <v>213583.3285873787</v>
      </c>
      <c r="I561" s="185">
        <f t="shared" si="374"/>
        <v>197644.27421518625</v>
      </c>
      <c r="J561" s="185">
        <f t="shared" si="374"/>
        <v>143451.48934973194</v>
      </c>
      <c r="K561" s="185">
        <f t="shared" si="374"/>
        <v>213583.3285873787</v>
      </c>
      <c r="L561" s="185">
        <f t="shared" si="374"/>
        <v>178517.40896855533</v>
      </c>
      <c r="M561" s="185">
        <f t="shared" si="374"/>
        <v>164978.76367743776</v>
      </c>
      <c r="N561" s="185">
        <f t="shared" si="374"/>
        <v>164978.76367743776</v>
      </c>
      <c r="O561" s="48">
        <v>2344654</v>
      </c>
    </row>
    <row r="562" spans="1:15" ht="15">
      <c r="A562" s="205" t="s">
        <v>816</v>
      </c>
      <c r="C562" s="185">
        <f>+$O$562*C450</f>
        <v>46874.2639323437</v>
      </c>
      <c r="D562" s="185">
        <f aca="true" t="shared" si="375" ref="D562:N562">+$O$562*D450</f>
        <v>56572.387504552746</v>
      </c>
      <c r="E562" s="185">
        <f t="shared" si="375"/>
        <v>75968.63464897082</v>
      </c>
      <c r="F562" s="185">
        <f t="shared" si="375"/>
        <v>46066.086967992946</v>
      </c>
      <c r="G562" s="185">
        <f t="shared" si="375"/>
        <v>45257.910003642195</v>
      </c>
      <c r="H562" s="185">
        <f t="shared" si="375"/>
        <v>54147.85661150049</v>
      </c>
      <c r="I562" s="185">
        <f t="shared" si="375"/>
        <v>50106.97178974671</v>
      </c>
      <c r="J562" s="185">
        <f t="shared" si="375"/>
        <v>36367.9633957839</v>
      </c>
      <c r="K562" s="185">
        <f t="shared" si="375"/>
        <v>54147.85661150049</v>
      </c>
      <c r="L562" s="185">
        <f t="shared" si="375"/>
        <v>45257.910003642195</v>
      </c>
      <c r="M562" s="185">
        <f t="shared" si="375"/>
        <v>41825.57926516189</v>
      </c>
      <c r="N562" s="185">
        <f t="shared" si="375"/>
        <v>41825.57926516189</v>
      </c>
      <c r="O562" s="59">
        <v>594419</v>
      </c>
    </row>
    <row r="563" spans="1:15" ht="15">
      <c r="A563" s="205" t="s">
        <v>817</v>
      </c>
      <c r="C563" s="185">
        <f>+$O$563*C450</f>
        <v>28645.37913325019</v>
      </c>
      <c r="D563" s="185">
        <f aca="true" t="shared" si="376" ref="D563:N563">+$O$563*D450</f>
        <v>34572.00929875023</v>
      </c>
      <c r="E563" s="185">
        <f t="shared" si="376"/>
        <v>46425.2696297503</v>
      </c>
      <c r="F563" s="185">
        <f t="shared" si="376"/>
        <v>28151.493286125184</v>
      </c>
      <c r="G563" s="185">
        <f t="shared" si="376"/>
        <v>27657.60743900018</v>
      </c>
      <c r="H563" s="185">
        <f t="shared" si="376"/>
        <v>33090.35175737522</v>
      </c>
      <c r="I563" s="185">
        <f t="shared" si="376"/>
        <v>30620.9225217502</v>
      </c>
      <c r="J563" s="185">
        <f t="shared" si="376"/>
        <v>22224.863120625145</v>
      </c>
      <c r="K563" s="185">
        <f t="shared" si="376"/>
        <v>33090.35175737522</v>
      </c>
      <c r="L563" s="185">
        <f t="shared" si="376"/>
        <v>27657.60743900018</v>
      </c>
      <c r="M563" s="185">
        <f t="shared" si="376"/>
        <v>25560.072308498966</v>
      </c>
      <c r="N563" s="185">
        <f t="shared" si="376"/>
        <v>25560.072308498966</v>
      </c>
      <c r="O563" s="59">
        <v>363256</v>
      </c>
    </row>
    <row r="567" spans="1:15" ht="15">
      <c r="A567" s="204" t="s">
        <v>212</v>
      </c>
      <c r="C567" s="182">
        <f aca="true" t="shared" si="377" ref="C567:O567">SUM(C568:C577)</f>
        <v>1836272.8142612798</v>
      </c>
      <c r="D567" s="182">
        <f t="shared" si="377"/>
        <v>2740815.542801616</v>
      </c>
      <c r="E567" s="182">
        <f t="shared" si="377"/>
        <v>10961809.285973167</v>
      </c>
      <c r="F567" s="182">
        <f t="shared" si="377"/>
        <v>23307770.00311161</v>
      </c>
      <c r="G567" s="182">
        <f t="shared" si="377"/>
        <v>6879181.573264146</v>
      </c>
      <c r="H567" s="182">
        <f t="shared" si="377"/>
        <v>5380122.75482892</v>
      </c>
      <c r="I567" s="182">
        <f t="shared" si="377"/>
        <v>4984593.286262746</v>
      </c>
      <c r="J567" s="182">
        <f t="shared" si="377"/>
        <v>3425899.796994438</v>
      </c>
      <c r="K567" s="182">
        <f t="shared" si="377"/>
        <v>5271299.937680808</v>
      </c>
      <c r="L567" s="182">
        <f t="shared" si="377"/>
        <v>2106044.0109221223</v>
      </c>
      <c r="M567" s="182">
        <f t="shared" si="377"/>
        <v>1857755.4969495772</v>
      </c>
      <c r="N567" s="182">
        <f t="shared" si="377"/>
        <v>1857755.4969495772</v>
      </c>
      <c r="O567" s="182">
        <f t="shared" si="377"/>
        <v>70609320</v>
      </c>
    </row>
    <row r="568" spans="1:15" ht="15">
      <c r="A568" s="205" t="s">
        <v>818</v>
      </c>
      <c r="C568" s="185">
        <f>+$O$568*C460</f>
        <v>633372.2771966178</v>
      </c>
      <c r="D568" s="185">
        <f aca="true" t="shared" si="378" ref="D568:N568">+$O$568*D460</f>
        <v>0</v>
      </c>
      <c r="E568" s="185">
        <f t="shared" si="378"/>
        <v>2216802.9701881623</v>
      </c>
      <c r="F568" s="185">
        <f t="shared" si="378"/>
        <v>5383664.356171251</v>
      </c>
      <c r="G568" s="185">
        <f t="shared" si="378"/>
        <v>2850175.2473847796</v>
      </c>
      <c r="H568" s="185">
        <f t="shared" si="378"/>
        <v>2216802.9701881623</v>
      </c>
      <c r="I568" s="185">
        <f t="shared" si="378"/>
        <v>2533489.108786471</v>
      </c>
      <c r="J568" s="185">
        <f t="shared" si="378"/>
        <v>950058.4157949267</v>
      </c>
      <c r="K568" s="185">
        <f>+$O$568*K460</f>
        <v>1900116.8315898534</v>
      </c>
      <c r="L568" s="185">
        <f t="shared" si="378"/>
        <v>633372.2771966178</v>
      </c>
      <c r="M568" s="185">
        <f t="shared" si="378"/>
        <v>618259.2727515792</v>
      </c>
      <c r="N568" s="185">
        <f t="shared" si="378"/>
        <v>618259.2727515792</v>
      </c>
      <c r="O568" s="208">
        <v>20554373</v>
      </c>
    </row>
    <row r="569" spans="1:15" ht="15">
      <c r="A569" s="205" t="s">
        <v>819</v>
      </c>
      <c r="C569" s="185">
        <f>+$O$569*C460</f>
        <v>160573.2594498847</v>
      </c>
      <c r="D569" s="185">
        <f aca="true" t="shared" si="379" ref="D569:N569">+$O$569*D460</f>
        <v>0</v>
      </c>
      <c r="E569" s="185">
        <f t="shared" si="379"/>
        <v>562006.4080745964</v>
      </c>
      <c r="F569" s="185">
        <f t="shared" si="379"/>
        <v>1364872.70532402</v>
      </c>
      <c r="G569" s="185">
        <f t="shared" si="379"/>
        <v>722579.6675244811</v>
      </c>
      <c r="H569" s="185">
        <f t="shared" si="379"/>
        <v>562006.4080745964</v>
      </c>
      <c r="I569" s="185">
        <f t="shared" si="379"/>
        <v>642293.0377995388</v>
      </c>
      <c r="J569" s="185">
        <f t="shared" si="379"/>
        <v>240859.88917482705</v>
      </c>
      <c r="K569" s="185">
        <f t="shared" si="379"/>
        <v>481719.7783496541</v>
      </c>
      <c r="L569" s="185">
        <f t="shared" si="379"/>
        <v>160573.2594498847</v>
      </c>
      <c r="M569" s="185">
        <f t="shared" si="379"/>
        <v>156741.79338925838</v>
      </c>
      <c r="N569" s="185">
        <f t="shared" si="379"/>
        <v>156741.79338925838</v>
      </c>
      <c r="O569" s="208">
        <v>5210968</v>
      </c>
    </row>
    <row r="570" spans="1:15" ht="15">
      <c r="A570" s="205" t="s">
        <v>820</v>
      </c>
      <c r="C570" s="185">
        <f>+$O$570*C460</f>
        <v>98128.08930182815</v>
      </c>
      <c r="D570" s="185">
        <f aca="true" t="shared" si="380" ref="D570:N570">+$O$570*D460</f>
        <v>0</v>
      </c>
      <c r="E570" s="185">
        <f t="shared" si="380"/>
        <v>343448.3125563985</v>
      </c>
      <c r="F570" s="185">
        <f t="shared" si="380"/>
        <v>834088.7590655393</v>
      </c>
      <c r="G570" s="185">
        <f t="shared" si="380"/>
        <v>441576.4018582266</v>
      </c>
      <c r="H570" s="185">
        <f t="shared" si="380"/>
        <v>343448.3125563985</v>
      </c>
      <c r="I570" s="185">
        <f t="shared" si="380"/>
        <v>392512.3572073126</v>
      </c>
      <c r="J570" s="185">
        <f t="shared" si="380"/>
        <v>147192.13395274224</v>
      </c>
      <c r="K570" s="185">
        <f t="shared" si="380"/>
        <v>294384.2679054845</v>
      </c>
      <c r="L570" s="185">
        <f t="shared" si="380"/>
        <v>98128.08930182815</v>
      </c>
      <c r="M570" s="185">
        <f t="shared" si="380"/>
        <v>95786.63814712076</v>
      </c>
      <c r="N570" s="185">
        <f t="shared" si="380"/>
        <v>95786.63814712076</v>
      </c>
      <c r="O570" s="208">
        <v>3184480</v>
      </c>
    </row>
    <row r="571" spans="1:15" ht="15">
      <c r="A571" s="205" t="s">
        <v>821</v>
      </c>
      <c r="C571" s="185">
        <f>+$O$571*C461</f>
        <v>0</v>
      </c>
      <c r="D571" s="185">
        <f aca="true" t="shared" si="381" ref="D571:N571">+$O$571*D461</f>
        <v>319995.42553191487</v>
      </c>
      <c r="E571" s="185">
        <f t="shared" si="381"/>
        <v>4799931.382978723</v>
      </c>
      <c r="F571" s="185">
        <f t="shared" si="381"/>
        <v>9919858.191489361</v>
      </c>
      <c r="G571" s="185">
        <f t="shared" si="381"/>
        <v>0</v>
      </c>
      <c r="H571" s="185">
        <f t="shared" si="381"/>
        <v>0</v>
      </c>
      <c r="I571" s="185">
        <f t="shared" si="381"/>
        <v>0</v>
      </c>
      <c r="J571" s="185">
        <f t="shared" si="381"/>
        <v>0</v>
      </c>
      <c r="K571" s="185">
        <f t="shared" si="381"/>
        <v>0</v>
      </c>
      <c r="L571" s="185">
        <f t="shared" si="381"/>
        <v>0</v>
      </c>
      <c r="M571" s="185">
        <f t="shared" si="381"/>
        <v>0</v>
      </c>
      <c r="N571" s="185">
        <f t="shared" si="381"/>
        <v>0</v>
      </c>
      <c r="O571" s="208">
        <v>15039785</v>
      </c>
    </row>
    <row r="572" spans="1:15" ht="15">
      <c r="A572" s="205" t="s">
        <v>822</v>
      </c>
      <c r="C572" s="185">
        <f>+$O$572*C461</f>
        <v>0</v>
      </c>
      <c r="D572" s="185">
        <f aca="true" t="shared" si="382" ref="D572:N572">+$O$572*D461</f>
        <v>81125.59574468085</v>
      </c>
      <c r="E572" s="185">
        <f t="shared" si="382"/>
        <v>1216883.936170213</v>
      </c>
      <c r="F572" s="185">
        <f t="shared" si="382"/>
        <v>2514893.468085106</v>
      </c>
      <c r="G572" s="185">
        <f t="shared" si="382"/>
        <v>0</v>
      </c>
      <c r="H572" s="185">
        <f t="shared" si="382"/>
        <v>0</v>
      </c>
      <c r="I572" s="185">
        <f t="shared" si="382"/>
        <v>0</v>
      </c>
      <c r="J572" s="185">
        <f t="shared" si="382"/>
        <v>0</v>
      </c>
      <c r="K572" s="185">
        <f t="shared" si="382"/>
        <v>0</v>
      </c>
      <c r="L572" s="185">
        <f t="shared" si="382"/>
        <v>0</v>
      </c>
      <c r="M572" s="185">
        <f t="shared" si="382"/>
        <v>0</v>
      </c>
      <c r="N572" s="185">
        <f t="shared" si="382"/>
        <v>0</v>
      </c>
      <c r="O572" s="208">
        <v>3812903</v>
      </c>
    </row>
    <row r="573" spans="1:15" ht="15">
      <c r="A573" s="205" t="s">
        <v>823</v>
      </c>
      <c r="C573" s="185">
        <f>+$O$573*C461</f>
        <v>0</v>
      </c>
      <c r="D573" s="185">
        <f aca="true" t="shared" si="383" ref="D573:N573">+$O$573*D461</f>
        <v>49576.765957446805</v>
      </c>
      <c r="E573" s="185">
        <f t="shared" si="383"/>
        <v>743651.4893617021</v>
      </c>
      <c r="F573" s="185">
        <f t="shared" si="383"/>
        <v>1536879.744680851</v>
      </c>
      <c r="G573" s="185">
        <f t="shared" si="383"/>
        <v>0</v>
      </c>
      <c r="H573" s="185">
        <f t="shared" si="383"/>
        <v>0</v>
      </c>
      <c r="I573" s="185">
        <f t="shared" si="383"/>
        <v>0</v>
      </c>
      <c r="J573" s="185">
        <f t="shared" si="383"/>
        <v>0</v>
      </c>
      <c r="K573" s="185">
        <f t="shared" si="383"/>
        <v>0</v>
      </c>
      <c r="L573" s="185">
        <f t="shared" si="383"/>
        <v>0</v>
      </c>
      <c r="M573" s="185">
        <f t="shared" si="383"/>
        <v>0</v>
      </c>
      <c r="N573" s="185">
        <f t="shared" si="383"/>
        <v>0</v>
      </c>
      <c r="O573" s="208">
        <v>2330108</v>
      </c>
    </row>
    <row r="574" spans="1:15" ht="15">
      <c r="A574" s="205" t="s">
        <v>824</v>
      </c>
      <c r="C574" s="185">
        <f>+$O$574*C462</f>
        <v>0</v>
      </c>
      <c r="D574" s="185">
        <f aca="true" t="shared" si="384" ref="D574:N574">+$O$574*D462</f>
        <v>1008704.5714285714</v>
      </c>
      <c r="E574" s="185">
        <f t="shared" si="384"/>
        <v>0</v>
      </c>
      <c r="F574" s="185">
        <f t="shared" si="384"/>
        <v>0</v>
      </c>
      <c r="G574" s="185">
        <f t="shared" si="384"/>
        <v>504352.2857142857</v>
      </c>
      <c r="H574" s="185">
        <f t="shared" si="384"/>
        <v>504352.2857142857</v>
      </c>
      <c r="I574" s="185">
        <f t="shared" si="384"/>
        <v>0</v>
      </c>
      <c r="J574" s="185">
        <f t="shared" si="384"/>
        <v>1008704.5714285714</v>
      </c>
      <c r="K574" s="185">
        <f t="shared" si="384"/>
        <v>504352.2857142857</v>
      </c>
      <c r="L574" s="185">
        <f t="shared" si="384"/>
        <v>0</v>
      </c>
      <c r="M574" s="185">
        <f t="shared" si="384"/>
        <v>0</v>
      </c>
      <c r="N574" s="185">
        <f t="shared" si="384"/>
        <v>0</v>
      </c>
      <c r="O574" s="208">
        <v>3530466</v>
      </c>
    </row>
    <row r="575" spans="1:15" ht="15">
      <c r="A575" s="205" t="s">
        <v>825</v>
      </c>
      <c r="C575" s="185">
        <f>+$O$575*C463</f>
        <v>670381.4086585129</v>
      </c>
      <c r="D575" s="185">
        <f aca="true" t="shared" si="385" ref="D575:N575">+$O$575*D463</f>
        <v>909803.3403222675</v>
      </c>
      <c r="E575" s="185">
        <f t="shared" si="385"/>
        <v>766150.1813240148</v>
      </c>
      <c r="F575" s="185">
        <f t="shared" si="385"/>
        <v>1244994.044651524</v>
      </c>
      <c r="G575" s="185">
        <f t="shared" si="385"/>
        <v>1675953.5216462824</v>
      </c>
      <c r="H575" s="185">
        <f t="shared" si="385"/>
        <v>1244994.044651524</v>
      </c>
      <c r="I575" s="185">
        <f t="shared" si="385"/>
        <v>1005572.1129877693</v>
      </c>
      <c r="J575" s="185">
        <f t="shared" si="385"/>
        <v>766150.1813240148</v>
      </c>
      <c r="K575" s="185">
        <f t="shared" si="385"/>
        <v>1484415.9763152786</v>
      </c>
      <c r="L575" s="185">
        <f>+$O$575*L463</f>
        <v>861918.9539895166</v>
      </c>
      <c r="M575" s="185">
        <f t="shared" si="385"/>
        <v>700747.1170646476</v>
      </c>
      <c r="N575" s="185">
        <f t="shared" si="385"/>
        <v>700747.1170646476</v>
      </c>
      <c r="O575" s="208">
        <v>12031828</v>
      </c>
    </row>
    <row r="576" spans="1:15" ht="15">
      <c r="A576" s="205" t="s">
        <v>826</v>
      </c>
      <c r="C576" s="185">
        <f>+$O$576*C463</f>
        <v>169955.81712288875</v>
      </c>
      <c r="D576" s="185">
        <f aca="true" t="shared" si="386" ref="D576:N576">+$O$576*D463</f>
        <v>230654.32323820615</v>
      </c>
      <c r="E576" s="185">
        <f t="shared" si="386"/>
        <v>194235.21956901572</v>
      </c>
      <c r="F576" s="185">
        <f t="shared" si="386"/>
        <v>315632.23179965053</v>
      </c>
      <c r="G576" s="185">
        <f t="shared" si="386"/>
        <v>424889.54280722194</v>
      </c>
      <c r="H576" s="185">
        <f t="shared" si="386"/>
        <v>315632.23179965053</v>
      </c>
      <c r="I576" s="185">
        <f t="shared" si="386"/>
        <v>254933.72568433313</v>
      </c>
      <c r="J576" s="185">
        <f t="shared" si="386"/>
        <v>194235.21956901572</v>
      </c>
      <c r="K576" s="185">
        <f t="shared" si="386"/>
        <v>376330.737914968</v>
      </c>
      <c r="L576" s="185">
        <f>+$O$576*L463</f>
        <v>218514.6220151427</v>
      </c>
      <c r="M576" s="185">
        <f t="shared" si="386"/>
        <v>177654.16423995342</v>
      </c>
      <c r="N576" s="185">
        <f t="shared" si="386"/>
        <v>177654.16423995342</v>
      </c>
      <c r="O576" s="208">
        <v>3050322</v>
      </c>
    </row>
    <row r="577" spans="1:15" ht="15">
      <c r="A577" s="205" t="s">
        <v>827</v>
      </c>
      <c r="C577" s="185">
        <f>+$O$577*C463</f>
        <v>103861.96253154727</v>
      </c>
      <c r="D577" s="185">
        <f aca="true" t="shared" si="387" ref="D577:N577">+$O$577*D463</f>
        <v>140955.52057852843</v>
      </c>
      <c r="E577" s="185">
        <f t="shared" si="387"/>
        <v>118699.38575033974</v>
      </c>
      <c r="F577" s="185">
        <f t="shared" si="387"/>
        <v>192886.50184430208</v>
      </c>
      <c r="G577" s="185">
        <f t="shared" si="387"/>
        <v>259654.9063288682</v>
      </c>
      <c r="H577" s="185">
        <f t="shared" si="387"/>
        <v>192886.50184430208</v>
      </c>
      <c r="I577" s="185">
        <f t="shared" si="387"/>
        <v>155792.94379732088</v>
      </c>
      <c r="J577" s="185">
        <f t="shared" si="387"/>
        <v>118699.38575033974</v>
      </c>
      <c r="K577" s="185">
        <f t="shared" si="387"/>
        <v>229980.05989128325</v>
      </c>
      <c r="L577" s="185">
        <f t="shared" si="387"/>
        <v>133536.8089691322</v>
      </c>
      <c r="M577" s="185">
        <f t="shared" si="387"/>
        <v>108566.51135701805</v>
      </c>
      <c r="N577" s="185">
        <f t="shared" si="387"/>
        <v>108566.51135701805</v>
      </c>
      <c r="O577" s="208">
        <v>1864087</v>
      </c>
    </row>
    <row r="580" spans="1:15" ht="15">
      <c r="A580" s="204" t="s">
        <v>217</v>
      </c>
      <c r="C580" s="182">
        <f aca="true" t="shared" si="388" ref="C580:O580">SUM(C581:C589)</f>
        <v>5848492.494604684</v>
      </c>
      <c r="D580" s="182">
        <f t="shared" si="388"/>
        <v>12995187.922222743</v>
      </c>
      <c r="E580" s="182">
        <f t="shared" si="388"/>
        <v>76513680.88151279</v>
      </c>
      <c r="F580" s="182">
        <f t="shared" si="388"/>
        <v>10029471.991911402</v>
      </c>
      <c r="G580" s="182">
        <f t="shared" si="388"/>
        <v>9472186.936153641</v>
      </c>
      <c r="H580" s="182">
        <f t="shared" si="388"/>
        <v>4258644.196205971</v>
      </c>
      <c r="I580" s="182">
        <f t="shared" si="388"/>
        <v>3541509.136040234</v>
      </c>
      <c r="J580" s="182">
        <f t="shared" si="388"/>
        <v>4929499.016257357</v>
      </c>
      <c r="K580" s="182">
        <f t="shared" si="388"/>
        <v>4218756.238728041</v>
      </c>
      <c r="L580" s="182">
        <f t="shared" si="388"/>
        <v>3727183.96001085</v>
      </c>
      <c r="M580" s="182">
        <f t="shared" si="388"/>
        <v>3179216.741043875</v>
      </c>
      <c r="N580" s="182">
        <f t="shared" si="388"/>
        <v>2780451.485308429</v>
      </c>
      <c r="O580" s="182">
        <f t="shared" si="388"/>
        <v>141494281</v>
      </c>
    </row>
    <row r="581" spans="1:15" ht="15">
      <c r="A581" s="205" t="s">
        <v>828</v>
      </c>
      <c r="C581" s="185">
        <f>+$O$581*C471</f>
        <v>14765.896851129675</v>
      </c>
      <c r="D581" s="185">
        <f aca="true" t="shared" si="389" ref="D581:N581">+$O$581*D471</f>
        <v>0</v>
      </c>
      <c r="E581" s="185">
        <f t="shared" si="389"/>
        <v>0</v>
      </c>
      <c r="F581" s="185">
        <f t="shared" si="389"/>
        <v>0</v>
      </c>
      <c r="G581" s="185">
        <f t="shared" si="389"/>
        <v>88595.38110677805</v>
      </c>
      <c r="H581" s="185">
        <f t="shared" si="389"/>
        <v>0</v>
      </c>
      <c r="I581" s="185">
        <f t="shared" si="389"/>
        <v>0</v>
      </c>
      <c r="J581" s="185">
        <f t="shared" si="389"/>
        <v>0</v>
      </c>
      <c r="K581" s="185">
        <f>+$O$581*K471</f>
        <v>0</v>
      </c>
      <c r="L581" s="185">
        <f t="shared" si="389"/>
        <v>0</v>
      </c>
      <c r="M581" s="185">
        <f t="shared" si="389"/>
        <v>24344.361021046134</v>
      </c>
      <c r="N581" s="185">
        <f t="shared" si="389"/>
        <v>24344.361021046134</v>
      </c>
      <c r="O581" s="208">
        <v>152050</v>
      </c>
    </row>
    <row r="582" spans="1:15" ht="15">
      <c r="A582" s="205" t="s">
        <v>829</v>
      </c>
      <c r="C582" s="185">
        <f>+$O$582*C471</f>
        <v>3241.408122966171</v>
      </c>
      <c r="D582" s="185">
        <f aca="true" t="shared" si="390" ref="D582:N582">+$O$582*D471</f>
        <v>0</v>
      </c>
      <c r="E582" s="185">
        <f t="shared" si="390"/>
        <v>0</v>
      </c>
      <c r="F582" s="185">
        <f t="shared" si="390"/>
        <v>0</v>
      </c>
      <c r="G582" s="185">
        <f t="shared" si="390"/>
        <v>19448.448737797025</v>
      </c>
      <c r="H582" s="185">
        <f t="shared" si="390"/>
        <v>0</v>
      </c>
      <c r="I582" s="185">
        <f t="shared" si="390"/>
        <v>0</v>
      </c>
      <c r="J582" s="185">
        <f t="shared" si="390"/>
        <v>0</v>
      </c>
      <c r="K582" s="185">
        <f t="shared" si="390"/>
        <v>0</v>
      </c>
      <c r="L582" s="185">
        <f t="shared" si="390"/>
        <v>0</v>
      </c>
      <c r="M582" s="185">
        <f t="shared" si="390"/>
        <v>5344.071569618401</v>
      </c>
      <c r="N582" s="185">
        <f t="shared" si="390"/>
        <v>5344.071569618401</v>
      </c>
      <c r="O582" s="208">
        <v>33378</v>
      </c>
    </row>
    <row r="583" spans="1:15" ht="15">
      <c r="A583" s="205" t="s">
        <v>830</v>
      </c>
      <c r="C583" s="185">
        <f>+$O$583*C472</f>
        <v>999334.3276890006</v>
      </c>
      <c r="D583" s="185">
        <f aca="true" t="shared" si="391" ref="D583:N583">+$O$583*D472</f>
        <v>1409199.5588609872</v>
      </c>
      <c r="E583" s="185">
        <f t="shared" si="391"/>
        <v>2859846.163570827</v>
      </c>
      <c r="F583" s="185">
        <f t="shared" si="391"/>
        <v>1446041.3773933006</v>
      </c>
      <c r="G583" s="185">
        <f t="shared" si="391"/>
        <v>1132885.9198686369</v>
      </c>
      <c r="H583" s="185">
        <f t="shared" si="391"/>
        <v>1132885.9198686369</v>
      </c>
      <c r="I583" s="185">
        <f t="shared" si="391"/>
        <v>1155912.0564513328</v>
      </c>
      <c r="J583" s="185">
        <f t="shared" si="391"/>
        <v>1321700.239846743</v>
      </c>
      <c r="K583" s="185">
        <f t="shared" si="391"/>
        <v>1220385.2388828811</v>
      </c>
      <c r="L583" s="185">
        <f t="shared" si="391"/>
        <v>1045386.6008543924</v>
      </c>
      <c r="M583" s="185">
        <f t="shared" si="391"/>
        <v>967773.8079269506</v>
      </c>
      <c r="N583" s="185">
        <f t="shared" si="391"/>
        <v>843777.7887863101</v>
      </c>
      <c r="O583" s="208">
        <v>15535129</v>
      </c>
    </row>
    <row r="584" spans="1:15" ht="15">
      <c r="A584" s="205" t="s">
        <v>831</v>
      </c>
      <c r="C584" s="185">
        <f>+$O$584*C472</f>
        <v>253352.3384916571</v>
      </c>
      <c r="D584" s="185">
        <f aca="true" t="shared" si="392" ref="D584:N584">+$O$584*D472</f>
        <v>357261.82294215244</v>
      </c>
      <c r="E584" s="185">
        <f t="shared" si="392"/>
        <v>725031.346559074</v>
      </c>
      <c r="F584" s="185">
        <f t="shared" si="392"/>
        <v>366602.00131972507</v>
      </c>
      <c r="G584" s="185">
        <f t="shared" si="392"/>
        <v>287210.48511035787</v>
      </c>
      <c r="H584" s="185">
        <f t="shared" si="392"/>
        <v>287210.48511035787</v>
      </c>
      <c r="I584" s="185">
        <f t="shared" si="392"/>
        <v>293048.0965963407</v>
      </c>
      <c r="J584" s="185">
        <f t="shared" si="392"/>
        <v>335078.8992954175</v>
      </c>
      <c r="K584" s="185">
        <f t="shared" si="392"/>
        <v>309393.40875709284</v>
      </c>
      <c r="L584" s="185">
        <f t="shared" si="392"/>
        <v>265027.5614636229</v>
      </c>
      <c r="M584" s="185">
        <f t="shared" si="392"/>
        <v>245351.08079022454</v>
      </c>
      <c r="N584" s="185">
        <f t="shared" si="392"/>
        <v>213915.47356397705</v>
      </c>
      <c r="O584" s="208">
        <v>3938483</v>
      </c>
    </row>
    <row r="585" spans="1:15" ht="15">
      <c r="A585" s="205" t="s">
        <v>832</v>
      </c>
      <c r="C585" s="185">
        <f>+$O$585*C472</f>
        <v>154826.51127434647</v>
      </c>
      <c r="D585" s="185">
        <f aca="true" t="shared" si="393" ref="D585:N585">+$O$585*D472</f>
        <v>218326.78548364065</v>
      </c>
      <c r="E585" s="185">
        <f t="shared" si="393"/>
        <v>443074.94701091776</v>
      </c>
      <c r="F585" s="185">
        <f t="shared" si="393"/>
        <v>224034.67530020644</v>
      </c>
      <c r="G585" s="185">
        <f t="shared" si="393"/>
        <v>175517.6118593974</v>
      </c>
      <c r="H585" s="185">
        <f t="shared" si="393"/>
        <v>175517.6118593974</v>
      </c>
      <c r="I585" s="185">
        <f t="shared" si="393"/>
        <v>179085.04299475098</v>
      </c>
      <c r="J585" s="185">
        <f t="shared" si="393"/>
        <v>204770.54716929694</v>
      </c>
      <c r="K585" s="185">
        <f t="shared" si="393"/>
        <v>189073.8501737411</v>
      </c>
      <c r="L585" s="185">
        <f t="shared" si="393"/>
        <v>161961.37354505368</v>
      </c>
      <c r="M585" s="185">
        <f t="shared" si="393"/>
        <v>149936.85119425767</v>
      </c>
      <c r="N585" s="185">
        <f t="shared" si="393"/>
        <v>130726.19213499343</v>
      </c>
      <c r="O585" s="208">
        <v>2406852</v>
      </c>
    </row>
    <row r="586" spans="1:15" ht="15">
      <c r="A586" s="205" t="s">
        <v>833</v>
      </c>
      <c r="C586" s="185">
        <f>+$O$586*C473</f>
        <v>487470.6854309427</v>
      </c>
      <c r="D586" s="185">
        <f aca="true" t="shared" si="394" ref="D586:N586">+$O$586*D473</f>
        <v>869947.684769067</v>
      </c>
      <c r="E586" s="185">
        <f t="shared" si="394"/>
        <v>1378479.6036602953</v>
      </c>
      <c r="F586" s="185">
        <f t="shared" si="394"/>
        <v>1126682.2457626967</v>
      </c>
      <c r="G586" s="185">
        <f t="shared" si="394"/>
        <v>913507.5652492421</v>
      </c>
      <c r="H586" s="185">
        <f t="shared" si="394"/>
        <v>591026.957964157</v>
      </c>
      <c r="I586" s="185">
        <f t="shared" si="394"/>
        <v>754579.6225504105</v>
      </c>
      <c r="J586" s="185">
        <f t="shared" si="394"/>
        <v>697770.5388251891</v>
      </c>
      <c r="K586" s="185">
        <f t="shared" si="394"/>
        <v>672084.5834774817</v>
      </c>
      <c r="L586" s="185">
        <f t="shared" si="394"/>
        <v>418537.33081166964</v>
      </c>
      <c r="M586" s="185">
        <f t="shared" si="394"/>
        <v>261780.25879108248</v>
      </c>
      <c r="N586" s="185">
        <f t="shared" si="394"/>
        <v>253965.92270776653</v>
      </c>
      <c r="O586" s="208">
        <v>8425833</v>
      </c>
    </row>
    <row r="587" spans="1:15" ht="15">
      <c r="A587" s="205" t="s">
        <v>834</v>
      </c>
      <c r="C587" s="185">
        <f>+$O$587*C473</f>
        <v>123584.13617473113</v>
      </c>
      <c r="D587" s="185">
        <f aca="true" t="shared" si="395" ref="D587:N587">+$O$587*D473</f>
        <v>220550.15071182785</v>
      </c>
      <c r="E587" s="185">
        <f t="shared" si="395"/>
        <v>349473.75533410825</v>
      </c>
      <c r="F587" s="185">
        <f t="shared" si="395"/>
        <v>285637.7957638529</v>
      </c>
      <c r="G587" s="185">
        <f t="shared" si="395"/>
        <v>231593.50236744163</v>
      </c>
      <c r="H587" s="185">
        <f t="shared" si="395"/>
        <v>149837.8430518503</v>
      </c>
      <c r="I587" s="185">
        <f t="shared" si="395"/>
        <v>191301.9051504748</v>
      </c>
      <c r="J587" s="185">
        <f t="shared" si="395"/>
        <v>176899.6000501119</v>
      </c>
      <c r="K587" s="185">
        <f t="shared" si="395"/>
        <v>170387.66672090493</v>
      </c>
      <c r="L587" s="185">
        <f t="shared" si="395"/>
        <v>106108.07179002235</v>
      </c>
      <c r="M587" s="185">
        <f t="shared" si="395"/>
        <v>66366.8362369179</v>
      </c>
      <c r="N587" s="185">
        <f t="shared" si="395"/>
        <v>64385.73664775616</v>
      </c>
      <c r="O587" s="208">
        <v>2136127</v>
      </c>
    </row>
    <row r="588" spans="1:15" ht="15">
      <c r="A588" s="205" t="s">
        <v>835</v>
      </c>
      <c r="C588" s="185">
        <f>+$O$588*C473</f>
        <v>75523.58413327286</v>
      </c>
      <c r="D588" s="185">
        <f aca="true" t="shared" si="396" ref="D588:N588">+$O$588*D473</f>
        <v>134780.5501455331</v>
      </c>
      <c r="E588" s="185">
        <f t="shared" si="396"/>
        <v>213567.1404137948</v>
      </c>
      <c r="F588" s="185">
        <f t="shared" si="396"/>
        <v>174556.30445572347</v>
      </c>
      <c r="G588" s="185">
        <f t="shared" si="396"/>
        <v>141529.26016359607</v>
      </c>
      <c r="H588" s="185">
        <f t="shared" si="396"/>
        <v>91567.50450620019</v>
      </c>
      <c r="I588" s="185">
        <f t="shared" si="396"/>
        <v>116906.63523399187</v>
      </c>
      <c r="J588" s="185">
        <f t="shared" si="396"/>
        <v>108105.23292922968</v>
      </c>
      <c r="K588" s="185">
        <f t="shared" si="396"/>
        <v>104125.72099605338</v>
      </c>
      <c r="L588" s="185">
        <f t="shared" si="396"/>
        <v>64843.77473596518</v>
      </c>
      <c r="M588" s="185">
        <f t="shared" si="396"/>
        <v>40557.4816909458</v>
      </c>
      <c r="N588" s="185">
        <f t="shared" si="396"/>
        <v>39346.810595693685</v>
      </c>
      <c r="O588" s="208">
        <v>1305410</v>
      </c>
    </row>
    <row r="589" spans="1:15" ht="15">
      <c r="A589" s="205" t="s">
        <v>836</v>
      </c>
      <c r="C589" s="185">
        <f>+$O$589*C474</f>
        <v>3736393.6064366377</v>
      </c>
      <c r="D589" s="185">
        <f aca="true" t="shared" si="397" ref="D589:N589">+$O$589*D474</f>
        <v>9785121.369309535</v>
      </c>
      <c r="E589" s="185">
        <f t="shared" si="397"/>
        <v>70544207.92496377</v>
      </c>
      <c r="F589" s="185">
        <f t="shared" si="397"/>
        <v>6405917.591915896</v>
      </c>
      <c r="G589" s="185">
        <f t="shared" si="397"/>
        <v>6481898.761690394</v>
      </c>
      <c r="H589" s="185">
        <f t="shared" si="397"/>
        <v>1830597.8738453717</v>
      </c>
      <c r="I589" s="185">
        <f t="shared" si="397"/>
        <v>850675.7770629326</v>
      </c>
      <c r="J589" s="185">
        <f t="shared" si="397"/>
        <v>2085173.9581413688</v>
      </c>
      <c r="K589" s="185">
        <f t="shared" si="397"/>
        <v>1553305.7697198852</v>
      </c>
      <c r="L589" s="185">
        <f t="shared" si="397"/>
        <v>1665319.246810124</v>
      </c>
      <c r="M589" s="185">
        <f t="shared" si="397"/>
        <v>1417761.9918228313</v>
      </c>
      <c r="N589" s="185">
        <f t="shared" si="397"/>
        <v>1204645.128281268</v>
      </c>
      <c r="O589" s="208">
        <v>107561019</v>
      </c>
    </row>
    <row r="590" spans="1:15" ht="15">
      <c r="A590" s="205" t="s">
        <v>837</v>
      </c>
      <c r="C590" s="185">
        <f>+$O$590*C474</f>
        <v>947254.8306330106</v>
      </c>
      <c r="D590" s="185">
        <f aca="true" t="shared" si="398" ref="D590:N590">+$O$590*D474</f>
        <v>2480735.292299281</v>
      </c>
      <c r="E590" s="185">
        <f t="shared" si="398"/>
        <v>17884449.22263696</v>
      </c>
      <c r="F590" s="185">
        <f t="shared" si="398"/>
        <v>1624035.6404437653</v>
      </c>
      <c r="G590" s="185">
        <f t="shared" si="398"/>
        <v>1643298.4745258202</v>
      </c>
      <c r="H590" s="185">
        <f t="shared" si="398"/>
        <v>464095.2912346637</v>
      </c>
      <c r="I590" s="185">
        <f t="shared" si="398"/>
        <v>215664.30735166656</v>
      </c>
      <c r="J590" s="185">
        <f t="shared" si="398"/>
        <v>528635.7147054663</v>
      </c>
      <c r="K590" s="185">
        <f t="shared" si="398"/>
        <v>393795.8761310817</v>
      </c>
      <c r="L590" s="185">
        <f t="shared" si="398"/>
        <v>422193.6624582349</v>
      </c>
      <c r="M590" s="185">
        <f t="shared" si="398"/>
        <v>359432.6607155408</v>
      </c>
      <c r="N590" s="185">
        <f t="shared" si="398"/>
        <v>305403.02686451055</v>
      </c>
      <c r="O590" s="59">
        <v>27268994</v>
      </c>
    </row>
    <row r="591" spans="1:15" ht="15">
      <c r="A591" s="205" t="s">
        <v>838</v>
      </c>
      <c r="C591" s="185">
        <f>+$O$591*C474</f>
        <v>578877.9443340771</v>
      </c>
      <c r="D591" s="185">
        <f aca="true" t="shared" si="399" ref="D591:N591">+$O$591*D474</f>
        <v>1516004.8806333945</v>
      </c>
      <c r="E591" s="185">
        <f t="shared" si="399"/>
        <v>10929385.49031083</v>
      </c>
      <c r="F591" s="185">
        <f t="shared" si="399"/>
        <v>992466.2114809398</v>
      </c>
      <c r="G591" s="185">
        <f t="shared" si="399"/>
        <v>1004237.9432629953</v>
      </c>
      <c r="H591" s="185">
        <f t="shared" si="399"/>
        <v>283613.78530581517</v>
      </c>
      <c r="I591" s="185">
        <f t="shared" si="399"/>
        <v>131794.8527351798</v>
      </c>
      <c r="J591" s="185">
        <f t="shared" si="399"/>
        <v>323055.154678682</v>
      </c>
      <c r="K591" s="185">
        <f t="shared" si="399"/>
        <v>240653.03220429242</v>
      </c>
      <c r="L591" s="185">
        <f t="shared" si="399"/>
        <v>258007.23472835385</v>
      </c>
      <c r="M591" s="185">
        <f t="shared" si="399"/>
        <v>219653.28973038564</v>
      </c>
      <c r="N591" s="185">
        <f t="shared" si="399"/>
        <v>186635.18059505778</v>
      </c>
      <c r="O591" s="59">
        <v>16664385</v>
      </c>
    </row>
    <row r="595" spans="1:15" ht="15">
      <c r="A595" s="204" t="s">
        <v>839</v>
      </c>
      <c r="C595" s="210">
        <f>+$O$595*C478</f>
        <v>2145.339293388367</v>
      </c>
      <c r="D595" s="210">
        <f aca="true" t="shared" si="400" ref="D595:N595">+$O$595*D478</f>
        <v>8331.223274324346</v>
      </c>
      <c r="E595" s="210">
        <f t="shared" si="400"/>
        <v>19017.441641390924</v>
      </c>
      <c r="F595" s="210">
        <f t="shared" si="400"/>
        <v>3883744.983430845</v>
      </c>
      <c r="G595" s="210">
        <f t="shared" si="400"/>
        <v>2815909.874921763</v>
      </c>
      <c r="H595" s="210">
        <f t="shared" si="400"/>
        <v>3085404.7606912176</v>
      </c>
      <c r="I595" s="210">
        <f t="shared" si="400"/>
        <v>3081069.4524045787</v>
      </c>
      <c r="J595" s="210">
        <f t="shared" si="400"/>
        <v>3809645.1510592108</v>
      </c>
      <c r="K595" s="210">
        <f t="shared" si="400"/>
        <v>3421971.857953965</v>
      </c>
      <c r="L595" s="210">
        <f t="shared" si="400"/>
        <v>3326179.915649182</v>
      </c>
      <c r="M595" s="210">
        <f t="shared" si="400"/>
        <v>51894.99984006693</v>
      </c>
      <c r="N595" s="210">
        <f t="shared" si="400"/>
        <v>51894.99984006693</v>
      </c>
      <c r="O595" s="208">
        <v>23557210</v>
      </c>
    </row>
    <row r="596" spans="1:15" ht="15">
      <c r="A596" s="204" t="s">
        <v>840</v>
      </c>
      <c r="C596" s="210">
        <f>+$O$596*C478</f>
        <v>22.116914953583724</v>
      </c>
      <c r="D596" s="210">
        <f aca="true" t="shared" si="401" ref="D596:N596">+$O$596*D478</f>
        <v>85.88895807083529</v>
      </c>
      <c r="E596" s="210">
        <f t="shared" si="401"/>
        <v>196.0562325566108</v>
      </c>
      <c r="F596" s="210">
        <f t="shared" si="401"/>
        <v>40038.635270732324</v>
      </c>
      <c r="G596" s="210">
        <f t="shared" si="401"/>
        <v>29030.01842763848</v>
      </c>
      <c r="H596" s="210">
        <f t="shared" si="401"/>
        <v>31808.318106089293</v>
      </c>
      <c r="I596" s="210">
        <f t="shared" si="401"/>
        <v>31763.624175871046</v>
      </c>
      <c r="J596" s="210">
        <f t="shared" si="401"/>
        <v>39274.71895423685</v>
      </c>
      <c r="K596" s="210">
        <f t="shared" si="401"/>
        <v>35278.0843520512</v>
      </c>
      <c r="L596" s="210">
        <f t="shared" si="401"/>
        <v>34290.53788435596</v>
      </c>
      <c r="M596" s="210">
        <f t="shared" si="401"/>
        <v>535.000361721909</v>
      </c>
      <c r="N596" s="210">
        <f t="shared" si="401"/>
        <v>535.000361721909</v>
      </c>
      <c r="O596" s="208">
        <v>242858</v>
      </c>
    </row>
    <row r="597" spans="1:15" ht="15">
      <c r="A597" s="204" t="s">
        <v>841</v>
      </c>
      <c r="C597" s="210">
        <f>+$O$597*C478</f>
        <v>44.23382990716745</v>
      </c>
      <c r="D597" s="210">
        <f aca="true" t="shared" si="402" ref="D597:N597">+$O$597*D478</f>
        <v>171.77791614167057</v>
      </c>
      <c r="E597" s="210">
        <f t="shared" si="402"/>
        <v>392.1124651132216</v>
      </c>
      <c r="F597" s="210">
        <f t="shared" si="402"/>
        <v>80077.27054146465</v>
      </c>
      <c r="G597" s="210">
        <f t="shared" si="402"/>
        <v>58060.03685527696</v>
      </c>
      <c r="H597" s="210">
        <f t="shared" si="402"/>
        <v>63616.636212178586</v>
      </c>
      <c r="I597" s="210">
        <f t="shared" si="402"/>
        <v>63527.24835174209</v>
      </c>
      <c r="J597" s="210">
        <f t="shared" si="402"/>
        <v>78549.4379084737</v>
      </c>
      <c r="K597" s="210">
        <f t="shared" si="402"/>
        <v>70556.1687041024</v>
      </c>
      <c r="L597" s="210">
        <f t="shared" si="402"/>
        <v>68581.07576871192</v>
      </c>
      <c r="M597" s="210">
        <f t="shared" si="402"/>
        <v>1070.000723443818</v>
      </c>
      <c r="N597" s="210">
        <f t="shared" si="402"/>
        <v>1070.000723443818</v>
      </c>
      <c r="O597" s="208">
        <v>485716</v>
      </c>
    </row>
    <row r="600" spans="1:15" ht="15">
      <c r="A600" s="205" t="s">
        <v>608</v>
      </c>
      <c r="C600" s="208">
        <v>4258816</v>
      </c>
      <c r="D600" s="208">
        <v>5598368</v>
      </c>
      <c r="E600" s="208">
        <v>8072965</v>
      </c>
      <c r="F600" s="208">
        <v>4315447</v>
      </c>
      <c r="G600" s="208">
        <v>3152878</v>
      </c>
      <c r="H600" s="208">
        <v>4345427</v>
      </c>
      <c r="I600" s="208">
        <v>4318131</v>
      </c>
      <c r="J600" s="208">
        <v>5329762</v>
      </c>
      <c r="K600" s="208">
        <v>2459287</v>
      </c>
      <c r="L600" s="208">
        <v>3158792</v>
      </c>
      <c r="M600" s="208">
        <v>3158792</v>
      </c>
      <c r="N600" s="208">
        <v>3158792</v>
      </c>
      <c r="O600" s="210">
        <f aca="true" t="shared" si="403" ref="O600:O601">SUM(C600:N600)</f>
        <v>51327457</v>
      </c>
    </row>
    <row r="601" spans="1:15" ht="15">
      <c r="A601" s="205" t="s">
        <v>609</v>
      </c>
      <c r="C601" s="208">
        <v>6800</v>
      </c>
      <c r="D601" s="208">
        <v>28764</v>
      </c>
      <c r="E601" s="208">
        <v>59251</v>
      </c>
      <c r="F601" s="208">
        <v>50541</v>
      </c>
      <c r="G601" s="208">
        <v>7775</v>
      </c>
      <c r="H601" s="208">
        <v>10333</v>
      </c>
      <c r="I601" s="208">
        <v>10193</v>
      </c>
      <c r="J601" s="208">
        <v>146814</v>
      </c>
      <c r="K601" s="208">
        <v>62252</v>
      </c>
      <c r="L601" s="208">
        <v>23371</v>
      </c>
      <c r="M601" s="208">
        <v>23371</v>
      </c>
      <c r="N601" s="208">
        <v>23371</v>
      </c>
      <c r="O601" s="210">
        <f t="shared" si="403"/>
        <v>452836</v>
      </c>
    </row>
  </sheetData>
  <printOptions horizontalCentered="1" verticalCentered="1"/>
  <pageMargins left="0" right="0" top="0" bottom="0" header="0.31496062992125984" footer="0.31496062992125984"/>
  <pageSetup horizontalDpi="600" verticalDpi="600" orientation="landscape" scale="70" r:id="rId3"/>
  <ignoredErrors>
    <ignoredError sqref="O330 O136:O137 O150 O162 O165:O169 O183 O249 O254:O255 O362 O366 O123 O100 O140:O141 O341 O358:O359 O351:O352 P280 O296 O301 O111:O113 O143:O146 O260:O261 O368:O369 O346:O348 O344 O85 O240:O246 O247 P351 O272 O228 O199" formula="1"/>
    <ignoredError sqref="O18 O13 O39 O37 O44 O32 O142 O256 O133 O331 O139 O226 O189 O280 O354:O356 O114:O115 O238 O350 O367 O345 O342:O343 O353 O79 O283 O315" formula="1" formulaRange="1"/>
    <ignoredError sqref="O161 O200:O201 O50:O51 O53:O55 O132 O198 O319:O323 O80 O138 O129 B150 B154 O224 O232:O233 B347 O379:O383 B352 O290 B123 O302 O108:O109 O372:O374 O186:O188 O190 O279 O297:O299 O317 O357 O135 O287 O250 O258 O304 O306 B378:N378 O273:O276 O293:O294 O363:O364 O63:O70 O72 O84 B111 O171:O172 O281 O179 O195:O196 O192:O193 O207 O239 O268:O271 O310:O311 O203 O205 O12 O361 O313:O314 O96 O86:O87 O209:O218 O89:O94" formulaRange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B2:E23"/>
  <sheetViews>
    <sheetView showGridLines="0" workbookViewId="0" topLeftCell="A1">
      <selection activeCell="A1" sqref="A1:XFD1048576"/>
    </sheetView>
  </sheetViews>
  <sheetFormatPr defaultColWidth="11.421875" defaultRowHeight="15"/>
  <cols>
    <col min="2" max="2" width="27.28125" style="0" customWidth="1"/>
    <col min="3" max="3" width="19.28125" style="0" bestFit="1" customWidth="1"/>
    <col min="4" max="4" width="19.8515625" style="0" customWidth="1"/>
    <col min="5" max="5" width="19.28125" style="0" bestFit="1" customWidth="1"/>
  </cols>
  <sheetData>
    <row r="2" spans="2:5" ht="15.5">
      <c r="B2" s="375" t="s">
        <v>680</v>
      </c>
      <c r="C2" s="375"/>
      <c r="D2" s="375"/>
      <c r="E2" s="375"/>
    </row>
    <row r="3" spans="2:5" ht="16">
      <c r="B3" s="92"/>
      <c r="C3" s="92"/>
      <c r="D3" s="92"/>
      <c r="E3" s="92"/>
    </row>
    <row r="4" spans="2:5" ht="15.5">
      <c r="B4" s="93" t="s">
        <v>142</v>
      </c>
      <c r="C4" s="93" t="s">
        <v>339</v>
      </c>
      <c r="D4" s="93" t="s">
        <v>340</v>
      </c>
      <c r="E4" s="93" t="s">
        <v>4</v>
      </c>
    </row>
    <row r="5" spans="2:5" ht="10.5" customHeight="1">
      <c r="B5" s="94"/>
      <c r="C5" s="94"/>
      <c r="D5" s="94"/>
      <c r="E5" s="94"/>
    </row>
    <row r="6" spans="2:5" ht="16">
      <c r="B6" s="94" t="s">
        <v>681</v>
      </c>
      <c r="C6" s="95">
        <f>+'RESUMIDO PUBLICO COMPARADO'!C5</f>
        <v>2248372280.6141663</v>
      </c>
      <c r="D6" s="95">
        <f>+'RESUMIDO PRIVADO COMPARADO'!C5</f>
        <v>367038234.4820737</v>
      </c>
      <c r="E6" s="95">
        <f>+C6+D6</f>
        <v>2615410515.09624</v>
      </c>
    </row>
    <row r="7" spans="2:5" ht="7.5" customHeight="1">
      <c r="B7" s="94"/>
      <c r="C7" s="95"/>
      <c r="D7" s="95"/>
      <c r="E7" s="95"/>
    </row>
    <row r="8" spans="2:5" ht="15.5">
      <c r="B8" s="93" t="s">
        <v>334</v>
      </c>
      <c r="C8" s="93"/>
      <c r="D8" s="93"/>
      <c r="E8" s="93"/>
    </row>
    <row r="9" spans="2:5" ht="7.5" customHeight="1">
      <c r="B9" s="94"/>
      <c r="C9" s="95"/>
      <c r="D9" s="95"/>
      <c r="E9" s="95"/>
    </row>
    <row r="10" spans="2:5" ht="16">
      <c r="B10" s="94" t="s">
        <v>681</v>
      </c>
      <c r="C10" s="95">
        <f>+'RESUMIDO PUBLICO COMPARADO'!C23</f>
        <v>2027273802</v>
      </c>
      <c r="D10" s="95">
        <f>+'RESUMIDO PRIVADO COMPARADO'!C19</f>
        <v>364613324.8</v>
      </c>
      <c r="E10" s="95">
        <f>+C10+D10</f>
        <v>2391887126.8</v>
      </c>
    </row>
    <row r="11" spans="2:5" ht="7.5" customHeight="1">
      <c r="B11" s="94"/>
      <c r="C11" s="95"/>
      <c r="D11" s="95"/>
      <c r="E11" s="95"/>
    </row>
    <row r="12" spans="2:5" ht="15.5">
      <c r="B12" s="251" t="s">
        <v>335</v>
      </c>
      <c r="C12" s="252">
        <f>+C6-C10</f>
        <v>221098478.61416626</v>
      </c>
      <c r="D12" s="252">
        <f aca="true" t="shared" si="0" ref="D12:E12">+D6-D10</f>
        <v>2424909.6820737123</v>
      </c>
      <c r="E12" s="252">
        <f t="shared" si="0"/>
        <v>223523388.29623985</v>
      </c>
    </row>
    <row r="13" spans="2:5" ht="6.75" customHeight="1">
      <c r="B13" s="94"/>
      <c r="C13" s="95"/>
      <c r="D13" s="95"/>
      <c r="E13" s="95"/>
    </row>
    <row r="14" spans="2:5" ht="16">
      <c r="B14" s="94" t="s">
        <v>336</v>
      </c>
      <c r="C14" s="95">
        <f>+'PUBLICO COMPLETO'!O382</f>
        <v>0</v>
      </c>
      <c r="D14" s="95">
        <f>+'PRIVADO COMPLETO'!B234</f>
        <v>32061092</v>
      </c>
      <c r="E14" s="95"/>
    </row>
    <row r="15" spans="2:5" ht="7.5" customHeight="1">
      <c r="B15" s="94"/>
      <c r="C15" s="95"/>
      <c r="D15" s="95"/>
      <c r="E15" s="95"/>
    </row>
    <row r="16" spans="2:5" ht="15.5">
      <c r="B16" s="253" t="s">
        <v>353</v>
      </c>
      <c r="C16" s="252">
        <f>+C12-C14</f>
        <v>221098478.61416626</v>
      </c>
      <c r="D16" s="252">
        <f aca="true" t="shared" si="1" ref="D16:E16">+D12-D14</f>
        <v>-29636182.317926288</v>
      </c>
      <c r="E16" s="252">
        <f t="shared" si="1"/>
        <v>223523388.29623985</v>
      </c>
    </row>
    <row r="17" spans="2:5" ht="6.75" customHeight="1">
      <c r="B17" s="94"/>
      <c r="C17" s="95"/>
      <c r="D17" s="95"/>
      <c r="E17" s="95"/>
    </row>
    <row r="18" spans="2:5" ht="16">
      <c r="B18" s="94" t="s">
        <v>337</v>
      </c>
      <c r="C18" s="95">
        <f>+'RESUMIDO PUBLICO COMPARADO'!C35</f>
        <v>145945103</v>
      </c>
      <c r="D18" s="95">
        <f>+'RESUMIDO PRIVADO COMPARADO'!C30</f>
        <v>103180000</v>
      </c>
      <c r="E18" s="95">
        <f>+C18+D18</f>
        <v>249125103</v>
      </c>
    </row>
    <row r="19" spans="2:5" ht="16">
      <c r="B19" s="94" t="s">
        <v>338</v>
      </c>
      <c r="C19" s="95">
        <f>+'RESUMIDO PUBLICO COMPARADO'!C36</f>
        <v>9407030</v>
      </c>
      <c r="D19" s="95">
        <v>0</v>
      </c>
      <c r="E19" s="95">
        <f>+C19+D19</f>
        <v>9407030</v>
      </c>
    </row>
    <row r="20" spans="2:5" ht="9" customHeight="1">
      <c r="B20" s="94"/>
      <c r="C20" s="95"/>
      <c r="D20" s="95"/>
      <c r="E20" s="95"/>
    </row>
    <row r="21" spans="2:5" ht="15.5">
      <c r="B21" s="99" t="s">
        <v>341</v>
      </c>
      <c r="C21" s="100">
        <f>+C16+C18+C19</f>
        <v>376450611.61416626</v>
      </c>
      <c r="D21" s="100">
        <f aca="true" t="shared" si="2" ref="D21:E21">+D16+D18+D19</f>
        <v>73543817.68207371</v>
      </c>
      <c r="E21" s="100">
        <f t="shared" si="2"/>
        <v>482055521.29623985</v>
      </c>
    </row>
    <row r="23" ht="15">
      <c r="E23" s="250"/>
    </row>
    <row r="28" ht="14.25" customHeight="1"/>
  </sheetData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B2:F26"/>
  <sheetViews>
    <sheetView showGridLines="0" workbookViewId="0" topLeftCell="A1">
      <selection activeCell="A1" sqref="A1:XFD1048576"/>
    </sheetView>
  </sheetViews>
  <sheetFormatPr defaultColWidth="11.421875" defaultRowHeight="15"/>
  <cols>
    <col min="2" max="2" width="27.28125" style="0" customWidth="1"/>
    <col min="3" max="3" width="19.28125" style="0" bestFit="1" customWidth="1"/>
    <col min="4" max="4" width="19.8515625" style="0" customWidth="1"/>
    <col min="5" max="5" width="19.28125" style="0" bestFit="1" customWidth="1"/>
  </cols>
  <sheetData>
    <row r="2" spans="2:5" ht="15.5">
      <c r="B2" s="180" t="s">
        <v>468</v>
      </c>
      <c r="C2" s="180"/>
      <c r="D2" s="180"/>
      <c r="E2" s="180"/>
    </row>
    <row r="3" spans="2:5" ht="16">
      <c r="B3" s="92"/>
      <c r="C3" s="92"/>
      <c r="D3" s="92"/>
      <c r="E3" s="92"/>
    </row>
    <row r="4" spans="2:6" ht="15.5">
      <c r="B4" s="93" t="s">
        <v>325</v>
      </c>
      <c r="C4" s="93" t="s">
        <v>398</v>
      </c>
      <c r="D4" s="93" t="s">
        <v>469</v>
      </c>
      <c r="E4" s="93" t="s">
        <v>471</v>
      </c>
      <c r="F4" s="93" t="s">
        <v>472</v>
      </c>
    </row>
    <row r="5" spans="2:5" ht="10.5" customHeight="1">
      <c r="B5" s="94"/>
      <c r="C5" s="94"/>
      <c r="D5" s="94"/>
      <c r="E5" s="94"/>
    </row>
    <row r="6" spans="2:6" ht="16">
      <c r="B6" s="94"/>
      <c r="C6" s="95">
        <v>2103505295</v>
      </c>
      <c r="D6" s="95">
        <f>+'FLUJO 2016'!C6</f>
        <v>2248372280.6141663</v>
      </c>
      <c r="E6" s="95">
        <f>+D6-C6</f>
        <v>144866985.61416626</v>
      </c>
      <c r="F6" s="181">
        <f>+(D6/C6)</f>
        <v>1.0688693230097936</v>
      </c>
    </row>
    <row r="7" spans="2:5" ht="7.5" customHeight="1">
      <c r="B7" s="94"/>
      <c r="C7" s="95"/>
      <c r="D7" s="95"/>
      <c r="E7" s="95"/>
    </row>
    <row r="8" spans="2:6" ht="15.5">
      <c r="B8" s="93" t="s">
        <v>326</v>
      </c>
      <c r="C8" s="93" t="s">
        <v>398</v>
      </c>
      <c r="D8" s="93" t="s">
        <v>469</v>
      </c>
      <c r="E8" s="93" t="s">
        <v>4</v>
      </c>
      <c r="F8" s="178"/>
    </row>
    <row r="9" spans="2:5" ht="7.5" customHeight="1">
      <c r="B9" s="94"/>
      <c r="C9" s="95"/>
      <c r="D9" s="95"/>
      <c r="E9" s="95"/>
    </row>
    <row r="10" spans="2:6" ht="16">
      <c r="B10" s="94"/>
      <c r="C10" s="95">
        <v>2102352731</v>
      </c>
      <c r="D10" s="95">
        <f>+'FLUJO 2016'!C10</f>
        <v>2027273802</v>
      </c>
      <c r="E10" s="95">
        <f>+D10-C10</f>
        <v>-75078929</v>
      </c>
      <c r="F10" s="181">
        <f>+(D10/C10)</f>
        <v>0.964288138763333</v>
      </c>
    </row>
    <row r="11" spans="2:5" ht="7.5" customHeight="1">
      <c r="B11" s="94"/>
      <c r="C11" s="95"/>
      <c r="D11" s="95"/>
      <c r="E11" s="95"/>
    </row>
    <row r="12" spans="2:6" ht="15.5">
      <c r="B12" s="176" t="s">
        <v>335</v>
      </c>
      <c r="C12" s="175">
        <f>+C6-C10</f>
        <v>1152564</v>
      </c>
      <c r="D12" s="175">
        <f aca="true" t="shared" si="0" ref="D12:E12">+D6-D10</f>
        <v>221098478.61416626</v>
      </c>
      <c r="E12" s="175">
        <f t="shared" si="0"/>
        <v>219945914.61416626</v>
      </c>
      <c r="F12" s="179"/>
    </row>
    <row r="13" spans="2:5" ht="6.75" customHeight="1">
      <c r="B13" s="94"/>
      <c r="C13" s="95"/>
      <c r="D13" s="95"/>
      <c r="E13" s="95"/>
    </row>
    <row r="14" spans="2:5" ht="6.75" customHeight="1">
      <c r="B14" s="94"/>
      <c r="C14" s="95"/>
      <c r="D14" s="95"/>
      <c r="E14" s="95"/>
    </row>
    <row r="16" spans="2:6" ht="15.5">
      <c r="B16" s="93" t="s">
        <v>328</v>
      </c>
      <c r="C16" s="93" t="s">
        <v>398</v>
      </c>
      <c r="D16" s="93" t="s">
        <v>469</v>
      </c>
      <c r="E16" s="93" t="s">
        <v>4</v>
      </c>
      <c r="F16" s="178"/>
    </row>
    <row r="17" spans="2:5" ht="12" customHeight="1">
      <c r="B17" s="94"/>
      <c r="C17" s="94"/>
      <c r="D17" s="94"/>
      <c r="E17" s="94"/>
    </row>
    <row r="18" spans="2:6" ht="16">
      <c r="B18" s="94"/>
      <c r="C18" s="95">
        <v>364449752</v>
      </c>
      <c r="D18" s="95">
        <f>+'FLUJO 2016'!D6</f>
        <v>367038234.4820737</v>
      </c>
      <c r="E18" s="95">
        <f>+D18-C18</f>
        <v>2588482.4820737243</v>
      </c>
      <c r="F18" s="181">
        <f>+(D18/C18)</f>
        <v>1.007102439960156</v>
      </c>
    </row>
    <row r="19" spans="2:5" ht="9.75" customHeight="1">
      <c r="B19" s="94"/>
      <c r="C19" s="95"/>
      <c r="D19" s="95"/>
      <c r="E19" s="95"/>
    </row>
    <row r="20" spans="2:6" ht="15.5">
      <c r="B20" s="93" t="s">
        <v>470</v>
      </c>
      <c r="C20" s="93" t="s">
        <v>398</v>
      </c>
      <c r="D20" s="93" t="s">
        <v>469</v>
      </c>
      <c r="E20" s="93" t="s">
        <v>4</v>
      </c>
      <c r="F20" s="178"/>
    </row>
    <row r="21" spans="2:5" ht="9.75" customHeight="1">
      <c r="B21" s="94"/>
      <c r="C21" s="95"/>
      <c r="D21" s="95"/>
      <c r="E21" s="95"/>
    </row>
    <row r="22" spans="2:6" ht="16">
      <c r="B22" s="94"/>
      <c r="C22" s="95">
        <v>349867601</v>
      </c>
      <c r="D22" s="95">
        <f>+'FLUJO 2016'!D10</f>
        <v>364613324.8</v>
      </c>
      <c r="E22" s="95">
        <f>+D22-C22</f>
        <v>14745723.800000012</v>
      </c>
      <c r="F22" s="181">
        <f>+(D22/C22)</f>
        <v>1.042146582758316</v>
      </c>
    </row>
    <row r="23" spans="2:5" ht="11.25" customHeight="1">
      <c r="B23" s="94"/>
      <c r="C23" s="95"/>
      <c r="D23" s="95"/>
      <c r="E23" s="95"/>
    </row>
    <row r="24" spans="2:6" ht="15.5">
      <c r="B24" s="176" t="s">
        <v>335</v>
      </c>
      <c r="C24" s="175">
        <f>+C18-C22</f>
        <v>14582151</v>
      </c>
      <c r="D24" s="175">
        <f aca="true" t="shared" si="1" ref="D24:E24">+D18-D22</f>
        <v>2424909.6820737123</v>
      </c>
      <c r="E24" s="175">
        <f t="shared" si="1"/>
        <v>-12157241.317926288</v>
      </c>
      <c r="F24" s="179"/>
    </row>
    <row r="25" spans="2:5" ht="16">
      <c r="B25" s="94"/>
      <c r="C25" s="95"/>
      <c r="D25" s="95"/>
      <c r="E25" s="95"/>
    </row>
    <row r="26" spans="3:5" ht="15">
      <c r="C26" s="177"/>
      <c r="D26" s="177"/>
      <c r="E26" s="177"/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B2:E21"/>
  <sheetViews>
    <sheetView showGridLines="0" workbookViewId="0" topLeftCell="A4">
      <selection activeCell="C23" sqref="C23"/>
    </sheetView>
  </sheetViews>
  <sheetFormatPr defaultColWidth="11.421875" defaultRowHeight="15"/>
  <cols>
    <col min="2" max="2" width="27.28125" style="0" customWidth="1"/>
    <col min="3" max="3" width="19.28125" style="0" bestFit="1" customWidth="1"/>
    <col min="4" max="4" width="19.8515625" style="0" customWidth="1"/>
    <col min="5" max="5" width="19.28125" style="0" bestFit="1" customWidth="1"/>
  </cols>
  <sheetData>
    <row r="2" spans="2:5" ht="15.5">
      <c r="B2" s="375" t="s">
        <v>682</v>
      </c>
      <c r="C2" s="375"/>
      <c r="D2" s="375"/>
      <c r="E2" s="375"/>
    </row>
    <row r="3" spans="2:5" ht="16">
      <c r="B3" s="92"/>
      <c r="C3" s="92"/>
      <c r="D3" s="92"/>
      <c r="E3" s="92"/>
    </row>
    <row r="4" spans="2:5" ht="15.5">
      <c r="B4" s="93" t="s">
        <v>142</v>
      </c>
      <c r="C4" s="93" t="s">
        <v>339</v>
      </c>
      <c r="D4" s="93" t="s">
        <v>340</v>
      </c>
      <c r="E4" s="93" t="s">
        <v>4</v>
      </c>
    </row>
    <row r="5" spans="2:5" ht="10.5" customHeight="1">
      <c r="B5" s="94"/>
      <c r="C5" s="94"/>
      <c r="D5" s="94"/>
      <c r="E5" s="94"/>
    </row>
    <row r="6" spans="2:5" ht="16">
      <c r="B6" s="94" t="s">
        <v>683</v>
      </c>
      <c r="C6" s="95">
        <f>+'RESUMEN GENERAL'!C5</f>
        <v>2483883045.4707365</v>
      </c>
      <c r="D6" s="95">
        <f>+'RESUMEN GENERAL'!C9</f>
        <v>396617971.33028114</v>
      </c>
      <c r="E6" s="95">
        <f>+C6+D6</f>
        <v>2880501016.8010178</v>
      </c>
    </row>
    <row r="7" spans="2:5" ht="7.5" customHeight="1">
      <c r="B7" s="94"/>
      <c r="C7" s="95"/>
      <c r="D7" s="95"/>
      <c r="E7" s="95"/>
    </row>
    <row r="8" spans="2:5" ht="16">
      <c r="B8" s="96" t="s">
        <v>334</v>
      </c>
      <c r="C8" s="95"/>
      <c r="D8" s="95"/>
      <c r="E8" s="95"/>
    </row>
    <row r="9" spans="2:5" ht="7.5" customHeight="1">
      <c r="B9" s="94"/>
      <c r="C9" s="95"/>
      <c r="D9" s="95"/>
      <c r="E9" s="95"/>
    </row>
    <row r="10" spans="2:5" ht="16">
      <c r="B10" s="94" t="s">
        <v>684</v>
      </c>
      <c r="C10" s="95">
        <f>+'RESUMEN GENERAL'!C6</f>
        <v>2450845130.454707</v>
      </c>
      <c r="D10" s="95">
        <f>+'RESUMEN GENERAL'!C10</f>
        <v>349867601</v>
      </c>
      <c r="E10" s="95">
        <f>+C10+D10</f>
        <v>2800712731.454707</v>
      </c>
    </row>
    <row r="11" spans="2:5" ht="7.5" customHeight="1">
      <c r="B11" s="94"/>
      <c r="C11" s="95"/>
      <c r="D11" s="95"/>
      <c r="E11" s="95"/>
    </row>
    <row r="12" spans="2:5" ht="15.5">
      <c r="B12" s="97" t="s">
        <v>335</v>
      </c>
      <c r="C12" s="98">
        <f>+C6-C10</f>
        <v>33037915.016029358</v>
      </c>
      <c r="D12" s="98">
        <f aca="true" t="shared" si="0" ref="D12:E12">+D6-D10</f>
        <v>46750370.33028114</v>
      </c>
      <c r="E12" s="98">
        <f t="shared" si="0"/>
        <v>79788285.34631062</v>
      </c>
    </row>
    <row r="13" spans="2:5" ht="6.75" customHeight="1">
      <c r="B13" s="94"/>
      <c r="C13" s="95"/>
      <c r="D13" s="95"/>
      <c r="E13" s="95"/>
    </row>
    <row r="14" spans="2:5" ht="16">
      <c r="B14" s="94" t="s">
        <v>336</v>
      </c>
      <c r="C14" s="95">
        <f>+'PUBLICO COMPLETO'!O382</f>
        <v>0</v>
      </c>
      <c r="D14" s="95">
        <f>+'PRIVADO COMPLETO'!O234</f>
        <v>20448000</v>
      </c>
      <c r="E14" s="95"/>
    </row>
    <row r="15" spans="2:5" ht="7.5" customHeight="1">
      <c r="B15" s="94"/>
      <c r="C15" s="95"/>
      <c r="D15" s="95"/>
      <c r="E15" s="95"/>
    </row>
    <row r="16" spans="2:5" ht="15.5">
      <c r="B16" s="97" t="s">
        <v>353</v>
      </c>
      <c r="C16" s="98">
        <f>+C12-C14</f>
        <v>33037915.016029358</v>
      </c>
      <c r="D16" s="98">
        <f aca="true" t="shared" si="1" ref="D16:E16">+D12-D14</f>
        <v>26302370.33028114</v>
      </c>
      <c r="E16" s="98">
        <f t="shared" si="1"/>
        <v>79788285.34631062</v>
      </c>
    </row>
    <row r="17" spans="2:5" ht="6.75" customHeight="1">
      <c r="B17" s="94"/>
      <c r="C17" s="95"/>
      <c r="D17" s="95"/>
      <c r="E17" s="95"/>
    </row>
    <row r="18" spans="2:5" ht="16">
      <c r="B18" s="94" t="s">
        <v>337</v>
      </c>
      <c r="C18" s="95">
        <f>+'RESUMIDO PUBLICO COMPARADO'!B35</f>
        <v>160236000</v>
      </c>
      <c r="D18" s="95">
        <f>+'RESUMIDO PRIVADO COMPARADO'!B30</f>
        <v>109224000</v>
      </c>
      <c r="E18" s="95">
        <f>+C18+D18</f>
        <v>269460000</v>
      </c>
    </row>
    <row r="19" spans="2:5" ht="16">
      <c r="B19" s="94" t="s">
        <v>338</v>
      </c>
      <c r="C19" s="95">
        <f>+'RESUMIDO PUBLICO COMPARADO'!B36</f>
        <v>10526000</v>
      </c>
      <c r="D19" s="95">
        <f>+'RESUMIDO PRIVADO COMPARADO'!B31</f>
        <v>0</v>
      </c>
      <c r="E19" s="95">
        <f>+C19+D19</f>
        <v>10526000</v>
      </c>
    </row>
    <row r="20" spans="2:5" ht="9" customHeight="1">
      <c r="B20" s="94"/>
      <c r="C20" s="95"/>
      <c r="D20" s="95"/>
      <c r="E20" s="95"/>
    </row>
    <row r="21" spans="2:5" ht="15.5">
      <c r="B21" s="99" t="s">
        <v>341</v>
      </c>
      <c r="C21" s="100">
        <f>+C16+C18+C19</f>
        <v>203799915.01602936</v>
      </c>
      <c r="D21" s="100">
        <f aca="true" t="shared" si="2" ref="D21:E21">+D16+D18+D19</f>
        <v>135526370.33028114</v>
      </c>
      <c r="E21" s="100">
        <f t="shared" si="2"/>
        <v>359774285.3463106</v>
      </c>
    </row>
  </sheetData>
  <mergeCells count="1">
    <mergeCell ref="B2:E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000396251678"/>
  </sheetPr>
  <dimension ref="B2:L17"/>
  <sheetViews>
    <sheetView showGridLines="0" zoomScale="110" zoomScaleNormal="110" workbookViewId="0" topLeftCell="C1">
      <selection activeCell="M19" sqref="M19"/>
    </sheetView>
  </sheetViews>
  <sheetFormatPr defaultColWidth="11.421875" defaultRowHeight="15"/>
  <cols>
    <col min="1" max="1" width="3.7109375" style="0" customWidth="1"/>
    <col min="2" max="2" width="22.00390625" style="0" customWidth="1"/>
    <col min="3" max="8" width="15.7109375" style="0" bestFit="1" customWidth="1"/>
    <col min="9" max="10" width="15.7109375" style="0" customWidth="1"/>
    <col min="11" max="12" width="15.7109375" style="0" bestFit="1" customWidth="1"/>
  </cols>
  <sheetData>
    <row r="2" spans="2:10" ht="15">
      <c r="B2" s="2" t="s">
        <v>343</v>
      </c>
      <c r="C2" s="2"/>
      <c r="D2" s="2"/>
      <c r="E2" s="2"/>
      <c r="F2" s="2"/>
      <c r="G2" s="2"/>
      <c r="H2" s="2"/>
      <c r="I2" s="2"/>
      <c r="J2" s="2"/>
    </row>
    <row r="4" spans="2:12" ht="15">
      <c r="B4" s="85"/>
      <c r="C4" s="86" t="s">
        <v>344</v>
      </c>
      <c r="D4" s="86" t="s">
        <v>583</v>
      </c>
      <c r="E4" s="86" t="s">
        <v>345</v>
      </c>
      <c r="F4" s="86" t="s">
        <v>346</v>
      </c>
      <c r="G4" s="86" t="s">
        <v>347</v>
      </c>
      <c r="H4" s="86" t="s">
        <v>284</v>
      </c>
      <c r="I4" s="86" t="s">
        <v>279</v>
      </c>
      <c r="J4" s="86" t="s">
        <v>463</v>
      </c>
      <c r="K4" s="86" t="s">
        <v>578</v>
      </c>
      <c r="L4" s="86" t="s">
        <v>577</v>
      </c>
    </row>
    <row r="5" spans="2:12" ht="15">
      <c r="B5" s="87" t="s">
        <v>325</v>
      </c>
      <c r="C5" s="88">
        <v>1098096000</v>
      </c>
      <c r="D5" s="88">
        <v>1214655000</v>
      </c>
      <c r="E5" s="88">
        <v>1239669000</v>
      </c>
      <c r="F5" s="88">
        <v>1290385000</v>
      </c>
      <c r="G5" s="88">
        <v>1388109000</v>
      </c>
      <c r="H5" s="88">
        <v>1438656000</v>
      </c>
      <c r="I5" s="88">
        <v>1720415000</v>
      </c>
      <c r="J5" s="88"/>
      <c r="K5" s="88">
        <f>+'RESUMEN GENERAL'!D5</f>
        <v>2248372280.6141663</v>
      </c>
      <c r="L5" s="88">
        <f>+'RESUMEN GENERAL'!C5</f>
        <v>2483883045.4707365</v>
      </c>
    </row>
    <row r="6" spans="2:12" ht="15">
      <c r="B6" s="87" t="s">
        <v>326</v>
      </c>
      <c r="C6" s="88">
        <v>1200549000</v>
      </c>
      <c r="D6" s="88">
        <v>1195712000</v>
      </c>
      <c r="E6" s="88">
        <v>1227840000</v>
      </c>
      <c r="F6" s="91">
        <v>1144668000</v>
      </c>
      <c r="G6" s="91">
        <v>1143347000</v>
      </c>
      <c r="H6" s="88">
        <v>1404509000</v>
      </c>
      <c r="I6" s="88">
        <f>1565753000+81560000</f>
        <v>1647313000</v>
      </c>
      <c r="J6" s="88"/>
      <c r="K6" s="88">
        <f>+'RESUMEN GENERAL'!D6</f>
        <v>2027273802</v>
      </c>
      <c r="L6" s="88">
        <f>+'RESUMEN GENERAL'!C6</f>
        <v>2450845130.454707</v>
      </c>
    </row>
    <row r="7" spans="2:12" ht="15">
      <c r="B7" s="89" t="s">
        <v>327</v>
      </c>
      <c r="C7" s="90">
        <f>+C5-C6</f>
        <v>-102453000</v>
      </c>
      <c r="D7" s="90">
        <f aca="true" t="shared" si="0" ref="D7:I7">+D5-D6</f>
        <v>18943000</v>
      </c>
      <c r="E7" s="90">
        <f t="shared" si="0"/>
        <v>11829000</v>
      </c>
      <c r="F7" s="90">
        <f t="shared" si="0"/>
        <v>145717000</v>
      </c>
      <c r="G7" s="90">
        <f t="shared" si="0"/>
        <v>244762000</v>
      </c>
      <c r="H7" s="90">
        <f t="shared" si="0"/>
        <v>34147000</v>
      </c>
      <c r="I7" s="90">
        <f t="shared" si="0"/>
        <v>73102000</v>
      </c>
      <c r="J7" s="90"/>
      <c r="K7" s="90">
        <f>+K5-K6</f>
        <v>221098478.61416626</v>
      </c>
      <c r="L7" s="90">
        <f aca="true" t="shared" si="1" ref="L7">+L5-L6</f>
        <v>33037915.016029358</v>
      </c>
    </row>
    <row r="8" spans="2:12" ht="15">
      <c r="B8" s="87"/>
      <c r="C8" s="87"/>
      <c r="D8" s="87"/>
      <c r="E8" s="87"/>
      <c r="F8" s="87"/>
      <c r="G8" s="87"/>
      <c r="H8" s="87"/>
      <c r="I8" s="87"/>
      <c r="J8" s="87"/>
      <c r="K8" s="88"/>
      <c r="L8" s="87"/>
    </row>
    <row r="9" spans="2:12" ht="15">
      <c r="B9" s="87" t="s">
        <v>328</v>
      </c>
      <c r="C9" s="88">
        <v>285471000</v>
      </c>
      <c r="D9" s="88">
        <v>305434000</v>
      </c>
      <c r="E9" s="88">
        <v>245013000</v>
      </c>
      <c r="F9" s="88">
        <v>215509000</v>
      </c>
      <c r="G9" s="88">
        <v>232654000</v>
      </c>
      <c r="H9" s="88">
        <v>231048000</v>
      </c>
      <c r="I9" s="88">
        <v>272893000</v>
      </c>
      <c r="J9" s="88"/>
      <c r="K9" s="88">
        <f>+'RESUMEN GENERAL'!D9</f>
        <v>367038234.4820737</v>
      </c>
      <c r="L9" s="88">
        <f>+'RESUMEN GENERAL'!C9</f>
        <v>396617971.33028114</v>
      </c>
    </row>
    <row r="10" spans="2:12" ht="15">
      <c r="B10" s="87" t="s">
        <v>329</v>
      </c>
      <c r="C10" s="88">
        <v>221899000</v>
      </c>
      <c r="D10" s="88">
        <v>266029000</v>
      </c>
      <c r="E10" s="88">
        <v>325785000</v>
      </c>
      <c r="F10" s="91">
        <v>223858000</v>
      </c>
      <c r="G10" s="91">
        <v>230776000</v>
      </c>
      <c r="H10" s="88">
        <v>230401000</v>
      </c>
      <c r="I10" s="88">
        <v>256457000</v>
      </c>
      <c r="J10" s="88"/>
      <c r="K10" s="88">
        <f>+'RESUMEN GENERAL'!D10</f>
        <v>364613324.8</v>
      </c>
      <c r="L10" s="88">
        <f>+'RESUMEN GENERAL'!C10</f>
        <v>349867601</v>
      </c>
    </row>
    <row r="11" spans="2:12" ht="15">
      <c r="B11" s="89" t="s">
        <v>330</v>
      </c>
      <c r="C11" s="90">
        <f>+C9-C10</f>
        <v>63572000</v>
      </c>
      <c r="D11" s="90">
        <f aca="true" t="shared" si="2" ref="D11:I11">+D9-D10</f>
        <v>39405000</v>
      </c>
      <c r="E11" s="90">
        <f t="shared" si="2"/>
        <v>-80772000</v>
      </c>
      <c r="F11" s="90">
        <f t="shared" si="2"/>
        <v>-8349000</v>
      </c>
      <c r="G11" s="90">
        <f t="shared" si="2"/>
        <v>1878000</v>
      </c>
      <c r="H11" s="90">
        <f t="shared" si="2"/>
        <v>647000</v>
      </c>
      <c r="I11" s="90">
        <f t="shared" si="2"/>
        <v>16436000</v>
      </c>
      <c r="J11" s="90"/>
      <c r="K11" s="90">
        <f>+K9-K10</f>
        <v>2424909.6820737123</v>
      </c>
      <c r="L11" s="90">
        <f aca="true" t="shared" si="3" ref="L11">+L9-L10</f>
        <v>46750370.33028114</v>
      </c>
    </row>
    <row r="12" spans="2:12" ht="11.25" customHeight="1">
      <c r="B12" s="85"/>
      <c r="C12" s="85"/>
      <c r="D12" s="85"/>
      <c r="E12" s="85"/>
      <c r="F12" s="85"/>
      <c r="G12" s="85"/>
      <c r="H12" s="85"/>
      <c r="I12" s="85"/>
      <c r="J12" s="85"/>
      <c r="K12" s="88"/>
      <c r="L12" s="85"/>
    </row>
    <row r="13" spans="2:12" ht="15">
      <c r="B13" s="89" t="s">
        <v>333</v>
      </c>
      <c r="C13" s="90">
        <f>+C7+C11</f>
        <v>-38881000</v>
      </c>
      <c r="D13" s="90">
        <f aca="true" t="shared" si="4" ref="D13:I13">+D7+D11</f>
        <v>58348000</v>
      </c>
      <c r="E13" s="90">
        <f t="shared" si="4"/>
        <v>-68943000</v>
      </c>
      <c r="F13" s="90">
        <f t="shared" si="4"/>
        <v>137368000</v>
      </c>
      <c r="G13" s="90">
        <f t="shared" si="4"/>
        <v>246640000</v>
      </c>
      <c r="H13" s="90">
        <f t="shared" si="4"/>
        <v>34794000</v>
      </c>
      <c r="I13" s="90">
        <f t="shared" si="4"/>
        <v>89538000</v>
      </c>
      <c r="J13" s="90"/>
      <c r="K13" s="90">
        <f>+K7+K11</f>
        <v>223523388.29623997</v>
      </c>
      <c r="L13" s="90">
        <f aca="true" t="shared" si="5" ref="L13">+L7+L11</f>
        <v>79788285.3463105</v>
      </c>
    </row>
    <row r="15" spans="4:12" ht="15">
      <c r="D15" s="84">
        <f>-(D13-C13)/C13</f>
        <v>2.500681566832129</v>
      </c>
      <c r="E15" s="84">
        <f>+(E13-D13)/D13</f>
        <v>-2.1815829162953313</v>
      </c>
      <c r="F15" s="84">
        <f>-(F13-E13)/E13</f>
        <v>2.992486546857549</v>
      </c>
      <c r="G15" s="84">
        <f>+(G13-F13)/F13</f>
        <v>0.7954691048861452</v>
      </c>
      <c r="H15" s="84">
        <f>+(H13-G13)/G13</f>
        <v>-0.8589279922153746</v>
      </c>
      <c r="I15" s="84">
        <f>+(I13-H13)/H13</f>
        <v>1.5733747197792722</v>
      </c>
      <c r="J15" s="84"/>
      <c r="K15" s="84">
        <f>+(K13-I13)/I13</f>
        <v>1.496408098195626</v>
      </c>
      <c r="L15" s="84">
        <f>+(L13-K13)/K13</f>
        <v>-0.6430427887010843</v>
      </c>
    </row>
    <row r="17" spans="9:11" ht="15">
      <c r="I17" s="172"/>
      <c r="J17" s="172"/>
      <c r="K17" s="172"/>
    </row>
  </sheetData>
  <printOptions/>
  <pageMargins left="0.7" right="0.7" top="0.75" bottom="0.75" header="0.3" footer="0.3"/>
  <pageSetup horizontalDpi="600" verticalDpi="600" orientation="portrait" r:id="rId1"/>
  <ignoredErrors>
    <ignoredError sqref="E15:F1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B3:F269"/>
  <sheetViews>
    <sheetView showGridLines="0" workbookViewId="0" topLeftCell="A161">
      <selection activeCell="B10" sqref="B10"/>
    </sheetView>
  </sheetViews>
  <sheetFormatPr defaultColWidth="11.421875" defaultRowHeight="15"/>
  <cols>
    <col min="2" max="2" width="64.00390625" style="0" bestFit="1" customWidth="1"/>
    <col min="3" max="3" width="14.140625" style="0" bestFit="1" customWidth="1"/>
    <col min="4" max="4" width="15.57421875" style="0" customWidth="1"/>
  </cols>
  <sheetData>
    <row r="3" spans="2:3" ht="15">
      <c r="B3" s="143" t="s">
        <v>360</v>
      </c>
      <c r="C3" s="144">
        <f>+SUM(C5:C18)</f>
        <v>84853000</v>
      </c>
    </row>
    <row r="4" spans="2:3" ht="15">
      <c r="B4" s="141"/>
      <c r="C4" s="145"/>
    </row>
    <row r="5" spans="2:3" ht="15">
      <c r="B5" s="141" t="str">
        <f>+'PUBLICO COMPLETO'!A82</f>
        <v>Revisoría Fiscal</v>
      </c>
      <c r="C5" s="145">
        <f>+'PUBLICO COMPLETO'!O82</f>
        <v>20330000</v>
      </c>
    </row>
    <row r="6" spans="2:3" ht="15" hidden="1">
      <c r="B6" s="141" t="str">
        <f>+'PUBLICO COMPLETO'!A83</f>
        <v>Consultoria Evaluacion por competencias</v>
      </c>
      <c r="C6" s="145">
        <f>+'PUBLICO COMPLETO'!O83</f>
        <v>0</v>
      </c>
    </row>
    <row r="7" spans="2:3" ht="15" hidden="1">
      <c r="B7" s="141" t="str">
        <f>+'PUBLICO COMPLETO'!A84</f>
        <v>Diagramacion cartilla estatutos</v>
      </c>
      <c r="C7" s="145">
        <f>+'PUBLICO COMPLETO'!O84</f>
        <v>0</v>
      </c>
    </row>
    <row r="8" spans="2:3" ht="15">
      <c r="B8" s="141" t="str">
        <f>+'PUBLICO COMPLETO'!A85</f>
        <v>Consultoria SG-SST</v>
      </c>
      <c r="C8" s="145">
        <f>+'PUBLICO COMPLETO'!O85</f>
        <v>6639000</v>
      </c>
    </row>
    <row r="9" spans="2:3" ht="15">
      <c r="B9" s="141" t="str">
        <f>+'PUBLICO COMPLETO'!A86</f>
        <v>Auditoría de seguimiento y ampliación alcance SGC</v>
      </c>
      <c r="C9" s="145">
        <f>+'PUBLICO COMPLETO'!O86</f>
        <v>2718000</v>
      </c>
    </row>
    <row r="10" spans="2:3" ht="15">
      <c r="B10" s="141" t="str">
        <f>+'PUBLICO COMPLETO'!A87</f>
        <v>Procesos de selección</v>
      </c>
      <c r="C10" s="145">
        <f>+'PUBLICO COMPLETO'!O87</f>
        <v>1766000</v>
      </c>
    </row>
    <row r="11" spans="2:3" ht="15">
      <c r="B11" s="141" t="str">
        <f>+'PUBLICO COMPLETO'!A88</f>
        <v>Honorarios nutricion</v>
      </c>
      <c r="C11" s="145">
        <f>+'PUBLICO COMPLETO'!O88</f>
        <v>2000000</v>
      </c>
    </row>
    <row r="12" spans="2:3" ht="15">
      <c r="B12" s="141" t="str">
        <f>+'PUBLICO COMPLETO'!A89</f>
        <v xml:space="preserve">Caso penal </v>
      </c>
      <c r="C12" s="145">
        <f>+'PUBLICO COMPLETO'!O89</f>
        <v>10000000</v>
      </c>
    </row>
    <row r="13" spans="2:3" ht="15">
      <c r="B13" s="141" t="str">
        <f>+'PUBLICO COMPLETO'!A90</f>
        <v>Caso laboral</v>
      </c>
      <c r="C13" s="145">
        <f>+'PUBLICO COMPLETO'!O90</f>
        <v>10000000</v>
      </c>
    </row>
    <row r="14" spans="2:3" ht="15">
      <c r="B14" s="141" t="str">
        <f>+'PUBLICO COMPLETO'!A91</f>
        <v>Honorarios capacitaciones gratuitas</v>
      </c>
      <c r="C14" s="145">
        <f>+'PUBLICO COMPLETO'!O91</f>
        <v>2000000</v>
      </c>
    </row>
    <row r="15" spans="2:3" ht="15">
      <c r="B15" s="141" t="str">
        <f>+'PUBLICO COMPLETO'!A92</f>
        <v>Cliente incognito</v>
      </c>
      <c r="C15" s="145">
        <f>+'PUBLICO COMPLETO'!O92</f>
        <v>2500000</v>
      </c>
    </row>
    <row r="16" spans="2:3" ht="15">
      <c r="B16" s="141" t="str">
        <f>+'PUBLICO COMPLETO'!A93</f>
        <v>Montaje evento reconocimiento Cartago</v>
      </c>
      <c r="C16" s="145">
        <f>+'PUBLICO COMPLETO'!O93</f>
        <v>6300000</v>
      </c>
    </row>
    <row r="17" spans="2:3" ht="15">
      <c r="B17" s="141" t="str">
        <f>+'PUBLICO COMPLETO'!A94</f>
        <v>Ges Turismo Honorarios</v>
      </c>
      <c r="C17" s="145">
        <f>+'PUBLICO COMPLETO'!O94</f>
        <v>20000000</v>
      </c>
    </row>
    <row r="18" spans="2:3" ht="15">
      <c r="B18" s="141" t="str">
        <f>+'PUBLICO COMPLETO'!A96</f>
        <v>Costumbre mercantil</v>
      </c>
      <c r="C18" s="145">
        <f>+'PUBLICO COMPLETO'!O96</f>
        <v>600000</v>
      </c>
    </row>
    <row r="21" spans="2:3" ht="15">
      <c r="B21" s="143" t="s">
        <v>361</v>
      </c>
      <c r="C21" s="144">
        <f>+C23+C30+C39</f>
        <v>109088000</v>
      </c>
    </row>
    <row r="22" spans="2:3" ht="8.25" customHeight="1">
      <c r="B22" s="141"/>
      <c r="C22" s="145"/>
    </row>
    <row r="23" spans="2:3" ht="15">
      <c r="B23" s="148" t="str">
        <f>+'PUBLICO COMPLETO'!A105</f>
        <v>CONSTRUCCIONES Y EDIFICACIONES</v>
      </c>
      <c r="C23" s="144">
        <f>+SUM(C24:C29)</f>
        <v>29561000</v>
      </c>
    </row>
    <row r="24" spans="2:3" ht="15">
      <c r="B24" s="141" t="str">
        <f>+'PUBLICO COMPLETO'!A106</f>
        <v>Alquiler oficina La Unión</v>
      </c>
      <c r="C24" s="145">
        <f>+'PUBLICO COMPLETO'!O106</f>
        <v>9236000</v>
      </c>
    </row>
    <row r="25" spans="2:3" ht="15">
      <c r="B25" s="141" t="str">
        <f>+'PUBLICO COMPLETO'!A107</f>
        <v>Alquiler espacio condensadoras La Unión</v>
      </c>
      <c r="C25" s="145">
        <f>+'PUBLICO COMPLETO'!O107</f>
        <v>2150000.0000000005</v>
      </c>
    </row>
    <row r="26" spans="2:3" ht="15">
      <c r="B26" s="141" t="str">
        <f>+'PUBLICO COMPLETO'!A108</f>
        <v>Alquiler oficina Roldanillo</v>
      </c>
      <c r="C26" s="145">
        <f>+'PUBLICO COMPLETO'!O108</f>
        <v>9600000</v>
      </c>
    </row>
    <row r="27" spans="2:3" ht="15">
      <c r="B27" s="141" t="str">
        <f>+'PUBLICO COMPLETO'!A109</f>
        <v>Alquiler salon eventos reconocimiento</v>
      </c>
      <c r="C27" s="145">
        <f>+'PUBLICO COMPLETO'!O109</f>
        <v>300000</v>
      </c>
    </row>
    <row r="28" spans="2:3" ht="15">
      <c r="B28" s="141" t="str">
        <f>+'PUBLICO COMPLETO'!A110</f>
        <v>Alquiler espacio archivo (Iron Mountain)</v>
      </c>
      <c r="C28" s="145">
        <f>+'PUBLICO COMPLETO'!O110</f>
        <v>8274999.999999999</v>
      </c>
    </row>
    <row r="29" spans="2:3" ht="10.5" customHeight="1">
      <c r="B29" s="141"/>
      <c r="C29" s="145"/>
    </row>
    <row r="30" spans="2:3" ht="15">
      <c r="B30" s="148" t="str">
        <f>+'PUBLICO COMPLETO'!A111</f>
        <v>EQUIPO DE COMPUT Y COMUNICACIONES</v>
      </c>
      <c r="C30" s="144">
        <f>+SUM(C31:C37)</f>
        <v>79452000</v>
      </c>
    </row>
    <row r="31" spans="2:3" ht="15">
      <c r="B31" s="141" t="str">
        <f>+'PUBLICO COMPLETO'!A112</f>
        <v>Alquiler plataforma Internet Consultnetwork</v>
      </c>
      <c r="C31" s="145">
        <f>+'PUBLICO COMPLETO'!O112</f>
        <v>39804000</v>
      </c>
    </row>
    <row r="32" spans="2:3" ht="15">
      <c r="B32" s="141" t="str">
        <f>+'PUBLICO COMPLETO'!A113</f>
        <v>Alquiler canal único contingencia (UNE)</v>
      </c>
      <c r="C32" s="145">
        <f>+'PUBLICO COMPLETO'!O113</f>
        <v>11042000</v>
      </c>
    </row>
    <row r="33" spans="2:3" ht="15">
      <c r="B33" s="141" t="str">
        <f>+'PUBLICO COMPLETO'!A114</f>
        <v>Servicio alquiler impresora y 3 equipos para caja en temporada de renovacion</v>
      </c>
      <c r="C33" s="145">
        <f>+'PUBLICO COMPLETO'!O114</f>
        <v>778000</v>
      </c>
    </row>
    <row r="34" spans="2:3" ht="15">
      <c r="B34" s="141" t="str">
        <f>+'PUBLICO COMPLETO'!A115</f>
        <v>Sistema integrado</v>
      </c>
      <c r="C34" s="145">
        <f>+'PUBLICO COMPLETO'!O115</f>
        <v>12600000</v>
      </c>
    </row>
    <row r="35" spans="2:3" ht="15">
      <c r="B35" s="141" t="str">
        <f>+'PUBLICO COMPLETO'!A116</f>
        <v>Dominio camaracartago.org</v>
      </c>
      <c r="C35" s="145">
        <f>+'PUBLICO COMPLETO'!O116</f>
        <v>47000</v>
      </c>
    </row>
    <row r="36" spans="2:3" ht="15">
      <c r="B36" s="141" t="str">
        <f>+'PUBLICO COMPLETO'!A117</f>
        <v>Sistema de Mensajeria Audicom (Musicar)</v>
      </c>
      <c r="C36" s="145">
        <f>+'PUBLICO COMPLETO'!O117</f>
        <v>2205999.9999999995</v>
      </c>
    </row>
    <row r="37" spans="2:3" ht="15">
      <c r="B37" s="141" t="str">
        <f>+'PUBLICO COMPLETO'!A118</f>
        <v>Sistema Mensajes en Pantallas (Musicar)</v>
      </c>
      <c r="C37" s="145">
        <f>+'PUBLICO COMPLETO'!O118</f>
        <v>12975000</v>
      </c>
    </row>
    <row r="38" spans="2:3" ht="6.75" customHeight="1">
      <c r="B38" s="141"/>
      <c r="C38" s="145"/>
    </row>
    <row r="39" spans="2:3" ht="15">
      <c r="B39" s="148" t="str">
        <f>+'PUBLICO COMPLETO'!A119</f>
        <v>EQUIPO HOTELES Y RESTAURANTES</v>
      </c>
      <c r="C39" s="144">
        <f>+'PUBLICO COMPLETO'!O119</f>
        <v>75000</v>
      </c>
    </row>
    <row r="42" spans="2:3" ht="15">
      <c r="B42" s="143" t="s">
        <v>584</v>
      </c>
      <c r="C42" s="144">
        <f>+SUM(C44:C51)</f>
        <v>257637400</v>
      </c>
    </row>
    <row r="44" spans="2:3" ht="15">
      <c r="B44" s="141" t="str">
        <f>+'CTAS MAYORES PUBLICO'!A68</f>
        <v>Aseo y vigilancia</v>
      </c>
      <c r="C44" s="145">
        <f>+'CTAS MAYORES PUBLICO'!B68</f>
        <v>26522000</v>
      </c>
    </row>
    <row r="45" spans="2:3" ht="15">
      <c r="B45" s="141" t="str">
        <f>+'CTAS MAYORES PUBLICO'!A69</f>
        <v>Temporales</v>
      </c>
      <c r="C45" s="145">
        <f>+'CTAS MAYORES PUBLICO'!B69</f>
        <v>9984000</v>
      </c>
    </row>
    <row r="46" spans="2:3" ht="15">
      <c r="B46" s="141" t="str">
        <f>+'CTAS MAYORES PUBLICO'!A70</f>
        <v>Acueducto y Alcantarillado</v>
      </c>
      <c r="C46" s="145">
        <f>+'CTAS MAYORES PUBLICO'!B70</f>
        <v>3204000</v>
      </c>
    </row>
    <row r="47" spans="2:3" ht="15">
      <c r="B47" s="141" t="str">
        <f>+'CTAS MAYORES PUBLICO'!A71</f>
        <v>Energía Eléctrica</v>
      </c>
      <c r="C47" s="145">
        <f>+'CTAS MAYORES PUBLICO'!B71</f>
        <v>58020000</v>
      </c>
    </row>
    <row r="48" spans="2:3" ht="15">
      <c r="B48" s="141" t="str">
        <f>+'CTAS MAYORES PUBLICO'!A72</f>
        <v>Teléfono</v>
      </c>
      <c r="C48" s="145">
        <f>+'CTAS MAYORES PUBLICO'!B72</f>
        <v>31340400</v>
      </c>
    </row>
    <row r="49" spans="2:3" ht="15">
      <c r="B49" s="141" t="str">
        <f>+'CTAS MAYORES PUBLICO'!A73</f>
        <v>Correo, Portes y Telegramas</v>
      </c>
      <c r="C49" s="145">
        <f>+'CTAS MAYORES PUBLICO'!B73</f>
        <v>9558000</v>
      </c>
    </row>
    <row r="50" spans="2:3" ht="15">
      <c r="B50" s="141" t="str">
        <f>+'CTAS MAYORES PUBLICO'!A74</f>
        <v>Trabajos litográficos</v>
      </c>
      <c r="C50" s="145">
        <f>+'CTAS MAYORES PUBLICO'!B74</f>
        <v>44645000</v>
      </c>
    </row>
    <row r="51" spans="2:3" ht="15">
      <c r="B51" s="141" t="s">
        <v>232</v>
      </c>
      <c r="C51" s="145">
        <f>+'CTAS MAYORES PUBLICO'!B75</f>
        <v>74364000</v>
      </c>
    </row>
    <row r="54" spans="2:3" ht="15">
      <c r="B54" s="143" t="s">
        <v>585</v>
      </c>
      <c r="C54" s="144">
        <f>+SUM(C56:C63)</f>
        <v>85450000</v>
      </c>
    </row>
    <row r="56" spans="2:3" ht="15">
      <c r="B56" s="141" t="str">
        <f>+'CTAS MAYORES PUBLICO'!A108</f>
        <v>Libros, Suscripciones, periódicos, Revistas</v>
      </c>
      <c r="C56" s="145">
        <f>+'CTAS MAYORES PUBLICO'!B108</f>
        <v>2268000</v>
      </c>
    </row>
    <row r="57" spans="2:3" ht="15">
      <c r="B57" s="141" t="str">
        <f>+'CTAS MAYORES PUBLICO'!A109</f>
        <v>Elementos de Aseo y Cafetería</v>
      </c>
      <c r="C57" s="145">
        <f>+'CTAS MAYORES PUBLICO'!B109</f>
        <v>8436000</v>
      </c>
    </row>
    <row r="58" spans="2:3" ht="15">
      <c r="B58" s="141" t="str">
        <f>+'CTAS MAYORES PUBLICO'!A110</f>
        <v>Utiles, Papelería y Fotocopias</v>
      </c>
      <c r="C58" s="145">
        <f>+'CTAS MAYORES PUBLICO'!B110</f>
        <v>25080000</v>
      </c>
    </row>
    <row r="59" spans="2:3" ht="15">
      <c r="B59" s="141" t="str">
        <f>+'CTAS MAYORES PUBLICO'!A111</f>
        <v>Combustibles y Lubricantes</v>
      </c>
      <c r="C59" s="145">
        <f>+'CTAS MAYORES PUBLICO'!B111</f>
        <v>3752000</v>
      </c>
    </row>
    <row r="60" spans="2:3" ht="15">
      <c r="B60" s="141" t="str">
        <f>+'CTAS MAYORES PUBLICO'!A112</f>
        <v>Taxis y Buses</v>
      </c>
      <c r="C60" s="145">
        <f>+'CTAS MAYORES PUBLICO'!B112</f>
        <v>804000</v>
      </c>
    </row>
    <row r="61" spans="2:3" ht="15">
      <c r="B61" s="141" t="str">
        <f>+'CTAS MAYORES PUBLICO'!A113</f>
        <v>Casinos y Restaurante</v>
      </c>
      <c r="C61" s="145">
        <f>+'CTAS MAYORES PUBLICO'!B113</f>
        <v>23800000</v>
      </c>
    </row>
    <row r="62" spans="2:3" ht="15">
      <c r="B62" s="141" t="str">
        <f>+'CTAS MAYORES PUBLICO'!A114</f>
        <v>Parqueaderos</v>
      </c>
      <c r="C62" s="145">
        <f>+'CTAS MAYORES PUBLICO'!B114</f>
        <v>708000</v>
      </c>
    </row>
    <row r="63" spans="2:3" ht="15">
      <c r="B63" s="141" t="str">
        <f>+'CTAS MAYORES PUBLICO'!A115</f>
        <v>Otros</v>
      </c>
      <c r="C63" s="145">
        <f>+'CTAS MAYORES PUBLICO'!B115</f>
        <v>20602000</v>
      </c>
    </row>
    <row r="65" spans="2:3" ht="15">
      <c r="B65" s="143" t="s">
        <v>61</v>
      </c>
      <c r="C65" s="144">
        <f>+C67+C77+C90++C96</f>
        <v>85012900</v>
      </c>
    </row>
    <row r="66" ht="15">
      <c r="B66" s="143"/>
    </row>
    <row r="67" spans="2:5" ht="15">
      <c r="B67" s="24" t="str">
        <f>+'PUBLICO COMPLETO'!A267</f>
        <v>Alojamiento y manutención</v>
      </c>
      <c r="C67" s="145">
        <f>+'PUBLICO COMPLETO'!O267</f>
        <v>19581000</v>
      </c>
      <c r="E67" s="147"/>
    </row>
    <row r="68" spans="2:5" ht="15" hidden="1">
      <c r="B68" s="24" t="str">
        <f>+'PUBLICO COMPLETO'!A268</f>
        <v xml:space="preserve">     Hospedaje  Reunión administrativos</v>
      </c>
      <c r="C68" s="230">
        <f>+'PUBLICO COMPLETO'!O268</f>
        <v>400000</v>
      </c>
      <c r="E68" s="147"/>
    </row>
    <row r="69" spans="2:3" ht="15" hidden="1">
      <c r="B69" s="24" t="str">
        <f>+'PUBLICO COMPLETO'!A269</f>
        <v xml:space="preserve">     Direccion Administrativa y Financiera</v>
      </c>
      <c r="C69" s="230">
        <f>+'PUBLICO COMPLETO'!O269</f>
        <v>1050000</v>
      </c>
    </row>
    <row r="70" spans="2:3" ht="15" hidden="1">
      <c r="B70" s="24" t="str">
        <f>+'PUBLICO COMPLETO'!A270</f>
        <v xml:space="preserve">     Hospedaje Gestión documental</v>
      </c>
      <c r="C70" s="230">
        <f>+'PUBLICO COMPLETO'!O270</f>
        <v>220000</v>
      </c>
    </row>
    <row r="71" spans="2:3" ht="15" hidden="1">
      <c r="B71" s="24" t="str">
        <f>+'PUBLICO COMPLETO'!A271</f>
        <v xml:space="preserve">     Hospedaje Direccion juridica</v>
      </c>
      <c r="C71" s="230">
        <f>+'PUBLICO COMPLETO'!O271</f>
        <v>1605000</v>
      </c>
    </row>
    <row r="72" spans="2:3" ht="15" hidden="1">
      <c r="B72" s="24" t="str">
        <f>+'PUBLICO COMPLETO'!A273</f>
        <v xml:space="preserve">     Hospedajes  Presidenta </v>
      </c>
      <c r="C72" s="230">
        <f>+'PUBLICO COMPLETO'!O273</f>
        <v>1992000</v>
      </c>
    </row>
    <row r="73" spans="2:3" ht="15" hidden="1">
      <c r="B73" s="24" t="str">
        <f>+'PUBLICO COMPLETO'!A274</f>
        <v xml:space="preserve">     Hospedaje Asamblea Confecámaras</v>
      </c>
      <c r="C73" s="230">
        <f>+'PUBLICO COMPLETO'!O274</f>
        <v>12735000</v>
      </c>
    </row>
    <row r="74" spans="2:3" ht="15" hidden="1">
      <c r="B74" s="24" t="str">
        <f>+'PUBLICO COMPLETO'!A275</f>
        <v xml:space="preserve">     Hospedaje auditor de Icontec</v>
      </c>
      <c r="C74" s="230">
        <f>+'PUBLICO COMPLETO'!O275</f>
        <v>86000</v>
      </c>
    </row>
    <row r="75" spans="2:3" ht="15" hidden="1">
      <c r="B75" s="24" t="str">
        <f>+'PUBLICO COMPLETO'!A276</f>
        <v xml:space="preserve">     Hospedaje Comunicaciones</v>
      </c>
      <c r="C75" s="230">
        <f>+'PUBLICO COMPLETO'!O276</f>
        <v>500000</v>
      </c>
    </row>
    <row r="76" spans="2:3" ht="15" hidden="1">
      <c r="B76" s="24" t="str">
        <f>+'PUBLICO COMPLETO'!A279</f>
        <v xml:space="preserve">     Hospedaje Competitividad</v>
      </c>
      <c r="C76" s="230">
        <f>+'PUBLICO COMPLETO'!O279</f>
        <v>144000</v>
      </c>
    </row>
    <row r="77" spans="2:3" ht="15">
      <c r="B77" s="24" t="str">
        <f>+'PUBLICO COMPLETO'!A280</f>
        <v>Pasajes aéreos</v>
      </c>
      <c r="C77" s="230">
        <f>+'PUBLICO COMPLETO'!O280</f>
        <v>21308000</v>
      </c>
    </row>
    <row r="78" spans="2:3" ht="15" hidden="1">
      <c r="B78" s="24" t="str">
        <f>+'PUBLICO COMPLETO'!A281</f>
        <v xml:space="preserve">     Tiquete  Reunión administrativos</v>
      </c>
      <c r="C78" s="230">
        <f>+'PUBLICO COMPLETO'!O281</f>
        <v>800000</v>
      </c>
    </row>
    <row r="79" spans="2:3" ht="15" hidden="1">
      <c r="B79" s="24" t="str">
        <f>+'PUBLICO COMPLETO'!A282</f>
        <v xml:space="preserve">     Tiquete Direccion admitiva</v>
      </c>
      <c r="C79" s="230">
        <f>+'PUBLICO COMPLETO'!O282</f>
        <v>2140000</v>
      </c>
    </row>
    <row r="80" spans="2:3" ht="15" hidden="1">
      <c r="B80" s="24" t="str">
        <f>+'PUBLICO COMPLETO'!A284</f>
        <v xml:space="preserve">     Tiquete   Sistemas</v>
      </c>
      <c r="C80" s="230">
        <f>+'PUBLICO COMPLETO'!O284</f>
        <v>1359000</v>
      </c>
    </row>
    <row r="81" spans="2:3" ht="15" hidden="1">
      <c r="B81" s="24" t="str">
        <f>+'PUBLICO COMPLETO'!A285</f>
        <v xml:space="preserve">     Tiquete Direccion Juridica</v>
      </c>
      <c r="C81" s="230">
        <f>+'PUBLICO COMPLETO'!O285</f>
        <v>3210000</v>
      </c>
    </row>
    <row r="82" spans="2:3" ht="15" hidden="1">
      <c r="B82" s="24" t="str">
        <f>+'PUBLICO COMPLETO'!A286</f>
        <v xml:space="preserve">     Tiquetes Asamblea Confecámaras</v>
      </c>
      <c r="C82" s="230">
        <f>+'PUBLICO COMPLETO'!O286</f>
        <v>5350000</v>
      </c>
    </row>
    <row r="83" spans="2:3" ht="15" hidden="1">
      <c r="B83" s="24" t="str">
        <f>+'PUBLICO COMPLETO'!A287</f>
        <v xml:space="preserve">     Tiquetes Presidencia</v>
      </c>
      <c r="C83" s="230">
        <f>+'PUBLICO COMPLETO'!O287</f>
        <v>4920000</v>
      </c>
    </row>
    <row r="84" spans="2:3" ht="15" hidden="1">
      <c r="B84" s="24" t="str">
        <f>+'PUBLICO COMPLETO'!A288</f>
        <v xml:space="preserve">     Tiquete encuentro Nal.de Cámaras</v>
      </c>
      <c r="C84" s="230">
        <f>+'PUBLICO COMPLETO'!O288</f>
        <v>334000</v>
      </c>
    </row>
    <row r="85" spans="2:3" ht="15" hidden="1">
      <c r="B85" s="24" t="str">
        <f>+'PUBLICO COMPLETO'!A289</f>
        <v xml:space="preserve">     Tiquete Coordinador de calidad</v>
      </c>
      <c r="C85" s="230">
        <f>+'PUBLICO COMPLETO'!O289</f>
        <v>268000</v>
      </c>
    </row>
    <row r="86" spans="2:3" ht="15" hidden="1">
      <c r="B86" s="24" t="str">
        <f>+'PUBLICO COMPLETO'!A290</f>
        <v xml:space="preserve">     Tiquetes Rutas Competitivas</v>
      </c>
      <c r="C86" s="230">
        <f>+'PUBLICO COMPLETO'!O290</f>
        <v>400000</v>
      </c>
    </row>
    <row r="87" spans="2:3" ht="15" hidden="1">
      <c r="B87" s="24" t="str">
        <f>+'PUBLICO COMPLETO'!A291</f>
        <v xml:space="preserve">     Tiquetes Competitividad</v>
      </c>
      <c r="C87" s="230">
        <f>+'PUBLICO COMPLETO'!O291</f>
        <v>570000</v>
      </c>
    </row>
    <row r="88" spans="2:3" ht="15" hidden="1">
      <c r="B88" s="24" t="str">
        <f>+'PUBLICO COMPLETO'!A295</f>
        <v xml:space="preserve">     Tiquetes Coord. Comunicaciones</v>
      </c>
      <c r="C88" s="230">
        <f>+'PUBLICO COMPLETO'!O295</f>
        <v>482000</v>
      </c>
    </row>
    <row r="89" spans="2:3" ht="9" customHeight="1" hidden="1">
      <c r="B89" s="24"/>
      <c r="C89" s="230"/>
    </row>
    <row r="90" spans="2:3" ht="15">
      <c r="B90" s="24" t="s">
        <v>244</v>
      </c>
      <c r="C90" s="230">
        <f>+'PUBLICO COMPLETO'!O296</f>
        <v>1112000</v>
      </c>
    </row>
    <row r="91" spans="2:3" ht="15" hidden="1">
      <c r="B91" s="24" t="str">
        <f>+'PUBLICO COMPLETO'!A297</f>
        <v xml:space="preserve">     Brigadas para la formalización</v>
      </c>
      <c r="C91" s="230">
        <f>+'PUBLICO COMPLETO'!O297</f>
        <v>372000</v>
      </c>
    </row>
    <row r="92" spans="2:3" ht="15" hidden="1">
      <c r="B92" s="24" t="str">
        <f>+'PUBLICO COMPLETO'!A298</f>
        <v xml:space="preserve">     Transporte meseros y equipos reconocimiento</v>
      </c>
      <c r="C92" s="230">
        <f>+'PUBLICO COMPLETO'!O298</f>
        <v>42000</v>
      </c>
    </row>
    <row r="93" spans="2:3" ht="15" hidden="1">
      <c r="B93" s="24" t="str">
        <f>+'PUBLICO COMPLETO'!A299</f>
        <v xml:space="preserve">     Transporte Administrativo</v>
      </c>
      <c r="C93" s="230">
        <f>+'PUBLICO COMPLETO'!O299</f>
        <v>216000</v>
      </c>
    </row>
    <row r="94" spans="2:3" ht="15" hidden="1">
      <c r="B94" s="24" t="str">
        <f>+'PUBLICO COMPLETO'!A300</f>
        <v xml:space="preserve">     Transporte auditor Icontec-Auditoría seguimiento y ampliación</v>
      </c>
      <c r="C94" s="230">
        <f>+'PUBLICO COMPLETO'!O300</f>
        <v>482000</v>
      </c>
    </row>
    <row r="95" spans="2:3" ht="9" customHeight="1" hidden="1">
      <c r="B95" s="24"/>
      <c r="C95" s="230"/>
    </row>
    <row r="96" spans="2:3" ht="15">
      <c r="B96" s="24" t="str">
        <f>+'PUBLICO COMPLETO'!A301</f>
        <v>Viáticos</v>
      </c>
      <c r="C96" s="230">
        <f>+'PUBLICO COMPLETO'!O301</f>
        <v>43011900</v>
      </c>
    </row>
    <row r="97" spans="2:3" ht="15" hidden="1">
      <c r="B97" t="str">
        <f>+'PUBLICO COMPLETO'!A302</f>
        <v xml:space="preserve">       Viáticos jornadas de registro</v>
      </c>
      <c r="C97" s="230">
        <f>+'PUBLICO COMPLETO'!O302</f>
        <v>2428900</v>
      </c>
    </row>
    <row r="98" spans="2:3" ht="15" hidden="1">
      <c r="B98" t="e">
        <f>+#REF!</f>
        <v>#REF!</v>
      </c>
      <c r="C98" s="230" t="e">
        <f>+#REF!</f>
        <v>#REF!</v>
      </c>
    </row>
    <row r="99" spans="2:3" ht="15" hidden="1">
      <c r="B99" t="e">
        <f>+#REF!</f>
        <v>#REF!</v>
      </c>
      <c r="C99" s="230" t="e">
        <f>+#REF!</f>
        <v>#REF!</v>
      </c>
    </row>
    <row r="100" spans="2:3" ht="15" hidden="1">
      <c r="B100" t="e">
        <f>+#REF!</f>
        <v>#REF!</v>
      </c>
      <c r="C100" s="230" t="e">
        <f>+#REF!</f>
        <v>#REF!</v>
      </c>
    </row>
    <row r="101" spans="2:3" ht="15" hidden="1">
      <c r="B101" t="e">
        <f>+#REF!</f>
        <v>#REF!</v>
      </c>
      <c r="C101" s="230" t="e">
        <f>+#REF!</f>
        <v>#REF!</v>
      </c>
    </row>
    <row r="102" spans="2:3" ht="15" hidden="1">
      <c r="B102" t="str">
        <f>+'PUBLICO COMPLETO'!A303</f>
        <v xml:space="preserve">       Viáticos Registro público </v>
      </c>
      <c r="C102" s="230">
        <f>+'PUBLICO COMPLETO'!O303</f>
        <v>9552000</v>
      </c>
    </row>
    <row r="103" spans="2:3" ht="15" hidden="1">
      <c r="B103" t="str">
        <f>+'PUBLICO COMPLETO'!A304</f>
        <v xml:space="preserve">       Viáticos Competitividad</v>
      </c>
      <c r="C103" s="230">
        <f>+'PUBLICO COMPLETO'!O304</f>
        <v>1158000</v>
      </c>
    </row>
    <row r="104" spans="2:3" ht="15" hidden="1">
      <c r="B104" t="str">
        <f>+'PUBLICO COMPLETO'!A305</f>
        <v xml:space="preserve">       Viáticos Comité Dir Administrativos</v>
      </c>
      <c r="C104" s="230">
        <f>+'PUBLICO COMPLETO'!O305</f>
        <v>900000</v>
      </c>
    </row>
    <row r="105" spans="2:3" ht="15" hidden="1">
      <c r="B105" t="str">
        <f>+'PUBLICO COMPLETO'!A306</f>
        <v xml:space="preserve">       Viáticos área administriva</v>
      </c>
      <c r="C105" s="230">
        <f>+'PUBLICO COMPLETO'!O306</f>
        <v>4188000</v>
      </c>
    </row>
    <row r="106" spans="2:3" ht="15" hidden="1">
      <c r="B106" t="str">
        <f>+'PUBLICO COMPLETO'!A307</f>
        <v xml:space="preserve">       Viáticos Comunicaciones</v>
      </c>
      <c r="C106" s="230">
        <f>+'PUBLICO COMPLETO'!O307</f>
        <v>192000</v>
      </c>
    </row>
    <row r="107" spans="2:3" ht="15" hidden="1">
      <c r="B107" t="str">
        <f>+'PUBLICO COMPLETO'!A308</f>
        <v xml:space="preserve">       Viáticos Presidencia</v>
      </c>
      <c r="C107" s="230">
        <f>+'PUBLICO COMPLETO'!O308</f>
        <v>12540000</v>
      </c>
    </row>
    <row r="108" spans="2:3" ht="15" hidden="1">
      <c r="B108" t="str">
        <f>+'PUBLICO COMPLETO'!A309</f>
        <v xml:space="preserve">       Viáticos Asamblea Confecámaras</v>
      </c>
      <c r="C108" s="230">
        <f>+'PUBLICO COMPLETO'!O309</f>
        <v>6869000</v>
      </c>
    </row>
    <row r="109" spans="2:3" ht="15" hidden="1">
      <c r="B109" t="str">
        <f>+'PUBLICO COMPLETO'!A310</f>
        <v xml:space="preserve">       Viaticos Control interno</v>
      </c>
      <c r="C109" s="230">
        <f>+'PUBLICO COMPLETO'!O310</f>
        <v>1220000</v>
      </c>
    </row>
    <row r="110" spans="2:3" ht="15" hidden="1">
      <c r="B110" t="e">
        <f>+#REF!</f>
        <v>#REF!</v>
      </c>
      <c r="C110" s="230" t="e">
        <f>+#REF!</f>
        <v>#REF!</v>
      </c>
    </row>
    <row r="111" spans="2:3" ht="15" hidden="1">
      <c r="B111" t="str">
        <f>+'PUBLICO COMPLETO'!A311</f>
        <v xml:space="preserve">       Viáticos Rutas Competitivas</v>
      </c>
      <c r="C111" s="230">
        <f>+'PUBLICO COMPLETO'!O311</f>
        <v>440000</v>
      </c>
    </row>
    <row r="112" spans="2:3" ht="15" hidden="1">
      <c r="B112" t="str">
        <f>+'PUBLICO COMPLETO'!A316</f>
        <v xml:space="preserve">       Viaticos Brigadas para la formalizacion</v>
      </c>
      <c r="C112" s="230">
        <f>+'PUBLICO COMPLETO'!O316</f>
        <v>536000</v>
      </c>
    </row>
    <row r="113" spans="2:3" ht="15" hidden="1">
      <c r="B113" t="str">
        <f>+'PUBLICO COMPLETO'!A317</f>
        <v xml:space="preserve">       Viáticos Reconocimiento empresarios</v>
      </c>
      <c r="C113" s="230">
        <f>+'PUBLICO COMPLETO'!O317</f>
        <v>0</v>
      </c>
    </row>
    <row r="116" spans="2:3" ht="15">
      <c r="B116" s="143" t="s">
        <v>586</v>
      </c>
      <c r="C116" s="144">
        <f>+C118+C133</f>
        <v>112242830.45470737</v>
      </c>
    </row>
    <row r="118" spans="2:3" ht="15">
      <c r="B118" s="233" t="s">
        <v>435</v>
      </c>
      <c r="C118" s="234">
        <f>+C119+C120+C131+C132</f>
        <v>93933830.45470737</v>
      </c>
    </row>
    <row r="119" spans="2:3" ht="15">
      <c r="B119" s="231" t="s">
        <v>122</v>
      </c>
      <c r="C119" s="230">
        <f>+'PUBLICO COMPLETO'!O122</f>
        <v>24838830.454707365</v>
      </c>
    </row>
    <row r="120" spans="2:3" ht="15">
      <c r="B120" s="231" t="s">
        <v>123</v>
      </c>
      <c r="C120" s="230">
        <f>+SUM(C121:C129)</f>
        <v>54897000</v>
      </c>
    </row>
    <row r="121" spans="2:3" ht="15">
      <c r="B121" s="231" t="s">
        <v>587</v>
      </c>
      <c r="C121" s="230">
        <f>+'PUBLICO COMPLETO'!O124</f>
        <v>7105000</v>
      </c>
    </row>
    <row r="122" spans="2:3" ht="15">
      <c r="B122" s="231" t="s">
        <v>225</v>
      </c>
      <c r="C122" s="230">
        <f>+'PUBLICO COMPLETO'!O125</f>
        <v>27222000</v>
      </c>
    </row>
    <row r="123" spans="2:3" ht="15">
      <c r="B123" s="231" t="s">
        <v>483</v>
      </c>
      <c r="C123" s="230">
        <f>+'PUBLICO COMPLETO'!O126</f>
        <v>6864000</v>
      </c>
    </row>
    <row r="124" spans="2:3" ht="15">
      <c r="B124" s="231" t="s">
        <v>226</v>
      </c>
      <c r="C124" s="230">
        <f>+'PUBLICO COMPLETO'!O127</f>
        <v>8662000</v>
      </c>
    </row>
    <row r="125" spans="2:3" ht="15">
      <c r="B125" s="231" t="s">
        <v>485</v>
      </c>
      <c r="C125" s="230">
        <f>+'PUBLICO COMPLETO'!O128</f>
        <v>4280000</v>
      </c>
    </row>
    <row r="126" spans="2:3" ht="15" hidden="1">
      <c r="B126" s="231" t="s">
        <v>482</v>
      </c>
      <c r="C126" s="230">
        <f>+'PUBLICO COMPLETO'!O129</f>
        <v>0</v>
      </c>
    </row>
    <row r="127" spans="2:3" ht="15" hidden="1">
      <c r="B127" s="231" t="s">
        <v>484</v>
      </c>
      <c r="C127" s="230">
        <f>+'PUBLICO COMPLETO'!O130</f>
        <v>0</v>
      </c>
    </row>
    <row r="128" spans="2:3" ht="15">
      <c r="B128" s="231" t="s">
        <v>227</v>
      </c>
      <c r="C128" s="230">
        <f>+'PUBLICO COMPLETO'!O131</f>
        <v>428000</v>
      </c>
    </row>
    <row r="129" spans="2:3" ht="15">
      <c r="B129" s="231" t="s">
        <v>588</v>
      </c>
      <c r="C129" s="230">
        <f>+'PUBLICO COMPLETO'!O132</f>
        <v>336000</v>
      </c>
    </row>
    <row r="130" spans="2:3" ht="15" hidden="1">
      <c r="B130" s="232" t="s">
        <v>410</v>
      </c>
      <c r="C130" s="230">
        <f>+'PUBLICO COMPLETO'!O133</f>
        <v>0</v>
      </c>
    </row>
    <row r="131" spans="2:3" ht="15">
      <c r="B131" s="232" t="s">
        <v>411</v>
      </c>
      <c r="C131" s="230">
        <f>+'PUBLICO COMPLETO'!O134</f>
        <v>3349000</v>
      </c>
    </row>
    <row r="132" spans="2:3" ht="15">
      <c r="B132" s="232" t="s">
        <v>536</v>
      </c>
      <c r="C132" s="230">
        <f>+'PUBLICO COMPLETO'!O135</f>
        <v>10849000</v>
      </c>
    </row>
    <row r="133" spans="2:3" ht="15">
      <c r="B133" s="233" t="s">
        <v>144</v>
      </c>
      <c r="C133" s="234">
        <f>+SUM(C134:C136)</f>
        <v>18309000</v>
      </c>
    </row>
    <row r="134" spans="2:3" ht="15">
      <c r="B134" s="231" t="s">
        <v>412</v>
      </c>
      <c r="C134" s="230">
        <f>+'PUBLICO COMPLETO'!O137</f>
        <v>14256000</v>
      </c>
    </row>
    <row r="135" spans="2:3" ht="15">
      <c r="B135" s="231" t="s">
        <v>481</v>
      </c>
      <c r="C135" s="230">
        <f>+'PUBLICO COMPLETO'!O138</f>
        <v>3512000</v>
      </c>
    </row>
    <row r="136" spans="2:3" ht="15">
      <c r="B136" s="231" t="s">
        <v>413</v>
      </c>
      <c r="C136" s="230">
        <f>+'PUBLICO COMPLETO'!O139</f>
        <v>541000</v>
      </c>
    </row>
    <row r="139" spans="2:3" ht="15">
      <c r="B139" s="143" t="s">
        <v>362</v>
      </c>
      <c r="C139" s="144">
        <f>+SUM(C141:C144)</f>
        <v>29600000</v>
      </c>
    </row>
    <row r="141" spans="2:3" ht="15">
      <c r="B141" s="141" t="s">
        <v>363</v>
      </c>
      <c r="C141" s="145">
        <f>+'PRIVADO COMPLETO'!O79</f>
        <v>21800000</v>
      </c>
    </row>
    <row r="142" spans="2:3" ht="15">
      <c r="B142" s="141" t="s">
        <v>364</v>
      </c>
      <c r="C142" s="145">
        <f>+'PRIVADO COMPLETO'!O80</f>
        <v>6000000</v>
      </c>
    </row>
    <row r="143" spans="2:3" ht="15">
      <c r="B143" s="141" t="s">
        <v>589</v>
      </c>
      <c r="C143" s="145">
        <f>+'PRIVADO COMPLETO'!O81</f>
        <v>1800000</v>
      </c>
    </row>
    <row r="145" spans="2:3" ht="15">
      <c r="B145" s="143" t="s">
        <v>365</v>
      </c>
      <c r="C145" s="144">
        <f>+SUM(C147:C154)</f>
        <v>56803340</v>
      </c>
    </row>
    <row r="147" spans="2:3" ht="15">
      <c r="B147" s="141" t="str">
        <f>+'CTAS MAYORES PRIVADO PRIVADO'!A82</f>
        <v>Aseo y vigilancia</v>
      </c>
      <c r="C147" s="145">
        <f>+'CTAS MAYORES PRIVADO PRIVADO'!B82</f>
        <v>18327040</v>
      </c>
    </row>
    <row r="148" spans="2:3" ht="15" hidden="1">
      <c r="B148" s="141" t="str">
        <f>+'CTAS MAYORES PRIVADO PRIVADO'!A83</f>
        <v>Temporales</v>
      </c>
      <c r="C148" s="145">
        <f>+'CTAS MAYORES PRIVADO PRIVADO'!B83</f>
        <v>0</v>
      </c>
    </row>
    <row r="149" spans="2:3" ht="15">
      <c r="B149" s="141" t="str">
        <f>+'CTAS MAYORES PRIVADO PRIVADO'!A84</f>
        <v>Acueducto y Alcantarillado</v>
      </c>
      <c r="C149" s="145">
        <f>+'CTAS MAYORES PRIVADO PRIVADO'!B84</f>
        <v>588000</v>
      </c>
    </row>
    <row r="150" spans="2:3" ht="15">
      <c r="B150" s="141" t="str">
        <f>+'CTAS MAYORES PRIVADO PRIVADO'!A85</f>
        <v>Energía Eléctrica</v>
      </c>
      <c r="C150" s="145">
        <f>+'CTAS MAYORES PRIVADO PRIVADO'!B85</f>
        <v>8436000</v>
      </c>
    </row>
    <row r="151" spans="2:3" ht="15" hidden="1">
      <c r="B151" s="141" t="str">
        <f>+'CTAS MAYORES PRIVADO PRIVADO'!A86</f>
        <v>Teléfono</v>
      </c>
      <c r="C151" s="145">
        <f>+'CTAS MAYORES PRIVADO PRIVADO'!B86</f>
        <v>0</v>
      </c>
    </row>
    <row r="152" spans="2:3" ht="15">
      <c r="B152" s="141" t="str">
        <f>+'CTAS MAYORES PRIVADO PRIVADO'!A87</f>
        <v>Correo, Portes y Telegramas</v>
      </c>
      <c r="C152" s="145">
        <f>+'CTAS MAYORES PRIVADO PRIVADO'!B87</f>
        <v>3516000</v>
      </c>
    </row>
    <row r="153" spans="2:3" ht="15">
      <c r="B153" s="141" t="str">
        <f>+'CTAS MAYORES PRIVADO PRIVADO'!A88</f>
        <v>Trabajos litográficos</v>
      </c>
      <c r="C153" s="145">
        <f>+'CTAS MAYORES PRIVADO PRIVADO'!B88</f>
        <v>21521300</v>
      </c>
    </row>
    <row r="154" spans="2:3" ht="15">
      <c r="B154" s="141" t="s">
        <v>232</v>
      </c>
      <c r="C154" s="145">
        <f>+'CTAS MAYORES PRIVADO PRIVADO'!B89</f>
        <v>4415000</v>
      </c>
    </row>
    <row r="155" ht="15">
      <c r="C155" s="145"/>
    </row>
    <row r="156" spans="2:3" ht="15">
      <c r="B156" s="143" t="s">
        <v>366</v>
      </c>
      <c r="C156" s="144">
        <f>+SUM(C158:C164)</f>
        <v>43684000</v>
      </c>
    </row>
    <row r="157" ht="11.25" customHeight="1"/>
    <row r="158" spans="2:3" ht="15" hidden="1">
      <c r="B158" s="141" t="str">
        <f>+'CTAS MAYORES PRIVADO PRIVADO'!A110</f>
        <v>Libros, suscripciones</v>
      </c>
      <c r="C158" s="145">
        <f>+'CTAS MAYORES PRIVADO PRIVADO'!B110</f>
        <v>0</v>
      </c>
    </row>
    <row r="159" spans="2:3" ht="15">
      <c r="B159" s="141" t="str">
        <f>+'CTAS MAYORES PRIVADO PRIVADO'!A111</f>
        <v>Elementos de Aseo y Cafetería</v>
      </c>
      <c r="C159" s="145">
        <f>+'CTAS MAYORES PRIVADO PRIVADO'!B111</f>
        <v>1158000</v>
      </c>
    </row>
    <row r="160" spans="2:3" ht="15">
      <c r="B160" s="141" t="str">
        <f>+'CTAS MAYORES PRIVADO PRIVADO'!A112</f>
        <v>Utiles, Papelería y Fotocopias</v>
      </c>
      <c r="C160" s="145">
        <f>+'CTAS MAYORES PRIVADO PRIVADO'!B112</f>
        <v>663000</v>
      </c>
    </row>
    <row r="161" spans="2:3" ht="15">
      <c r="B161" s="141" t="str">
        <f>+'CTAS MAYORES PRIVADO PRIVADO'!A113</f>
        <v>Combustibles y Lubricantes</v>
      </c>
      <c r="C161" s="145">
        <f>+'CTAS MAYORES PRIVADO PRIVADO'!B113</f>
        <v>10000</v>
      </c>
    </row>
    <row r="162" spans="2:3" ht="15">
      <c r="B162" s="141" t="str">
        <f>+'CTAS MAYORES PRIVADO PRIVADO'!A114</f>
        <v>Buses y taxis</v>
      </c>
      <c r="C162" s="145">
        <f>+'CTAS MAYORES PRIVADO PRIVADO'!B114</f>
        <v>252000</v>
      </c>
    </row>
    <row r="163" spans="2:3" ht="15">
      <c r="B163" s="141" t="str">
        <f>+'CTAS MAYORES PRIVADO PRIVADO'!A115</f>
        <v>Casinos y Restaurante</v>
      </c>
      <c r="C163" s="145">
        <f>+'CTAS MAYORES PRIVADO PRIVADO'!B115</f>
        <v>23170000</v>
      </c>
    </row>
    <row r="164" spans="2:3" ht="15">
      <c r="B164" s="148" t="str">
        <f>+'CTAS MAYORES PRIVADO PRIVADO'!A117</f>
        <v>Otros</v>
      </c>
      <c r="C164" s="144">
        <f>+'CTAS MAYORES PRIVADO PRIVADO'!B117</f>
        <v>18431000</v>
      </c>
    </row>
    <row r="165" spans="2:3" ht="15">
      <c r="B165" s="141" t="s">
        <v>732</v>
      </c>
      <c r="C165" s="145">
        <f>+'PRIVADO COMPLETO'!O215</f>
        <v>4704000</v>
      </c>
    </row>
    <row r="166" spans="2:3" ht="15">
      <c r="B166" s="141" t="str">
        <f>+'PRIVADO COMPLETO'!A216</f>
        <v>Flores varias-decoración oficinas</v>
      </c>
      <c r="C166" s="145">
        <f>+'PRIVADO COMPLETO'!O216</f>
        <v>528000</v>
      </c>
    </row>
    <row r="167" spans="2:3" ht="15">
      <c r="B167" s="141" t="s">
        <v>731</v>
      </c>
      <c r="C167" s="145">
        <f>+'PRIVADO COMPLETO'!O217</f>
        <v>6350000</v>
      </c>
    </row>
    <row r="168" spans="2:3" ht="15" hidden="1">
      <c r="B168" s="141" t="str">
        <f>+'PRIVADO COMPLETO'!A218</f>
        <v>Elmentos auditorios</v>
      </c>
      <c r="C168" s="145">
        <f>+'PRIVADO COMPLETO'!O218</f>
        <v>0</v>
      </c>
    </row>
    <row r="169" spans="2:3" ht="15">
      <c r="B169" s="141" t="str">
        <f>+'PRIVADO COMPLETO'!A219</f>
        <v>Apoyos</v>
      </c>
      <c r="C169" s="145">
        <f>+'PRIVADO COMPLETO'!O219</f>
        <v>1332000</v>
      </c>
    </row>
    <row r="170" spans="2:3" ht="15">
      <c r="B170" s="141" t="str">
        <f>+'PRIVADO COMPLETO'!A220</f>
        <v>Participación Feria Exponegocios</v>
      </c>
      <c r="C170" s="145">
        <f>+'PRIVADO COMPLETO'!O220</f>
        <v>1177000</v>
      </c>
    </row>
    <row r="171" spans="2:3" ht="15">
      <c r="B171" s="141" t="str">
        <f>+'PRIVADO COMPLETO'!A221</f>
        <v>Otros</v>
      </c>
      <c r="C171" s="145">
        <f>+'PRIVADO COMPLETO'!O221</f>
        <v>1500000</v>
      </c>
    </row>
    <row r="172" spans="2:3" ht="15" hidden="1">
      <c r="B172" s="141" t="str">
        <f>+'PRIVADO COMPLETO'!A222</f>
        <v>Evento reconocimiento 2015</v>
      </c>
      <c r="C172" s="145">
        <f>+'PRIVADO COMPLETO'!O222</f>
        <v>0</v>
      </c>
    </row>
    <row r="173" spans="2:3" ht="15">
      <c r="B173" s="141" t="str">
        <f>+'PRIVADO COMPLETO'!A223</f>
        <v>Regalo de afiliados y registros</v>
      </c>
      <c r="C173" s="145">
        <f>+'PRIVADO COMPLETO'!O223</f>
        <v>2000000</v>
      </c>
    </row>
    <row r="174" spans="2:3" ht="15" hidden="1">
      <c r="B174" s="141" t="str">
        <f>+'PRIVADO COMPLETO'!A224</f>
        <v>Placas reconocimiento empresarios</v>
      </c>
      <c r="C174" s="145">
        <f>+'PRIVADO COMPLETO'!O224</f>
        <v>0</v>
      </c>
    </row>
    <row r="175" spans="2:3" ht="15" hidden="1">
      <c r="B175" s="141" t="str">
        <f>+'PRIVADO COMPLETO'!A225</f>
        <v>Presentacion artistica reconocimiento empresarios</v>
      </c>
      <c r="C175" s="145">
        <f>+'PRIVADO COMPLETO'!O225</f>
        <v>0</v>
      </c>
    </row>
    <row r="176" spans="2:3" ht="15" hidden="1">
      <c r="B176" s="141" t="str">
        <f>+'PRIVADO COMPLETO'!A226</f>
        <v>Amplificación eventos de reconocimiento</v>
      </c>
      <c r="C176" s="145">
        <f>+'PRIVADO COMPLETO'!O226</f>
        <v>0</v>
      </c>
    </row>
    <row r="177" spans="2:3" ht="15" hidden="1">
      <c r="B177" s="141" t="str">
        <f>+'PRIVADO COMPLETO'!A227</f>
        <v>Meseros y flores eventos de reconocimiento</v>
      </c>
      <c r="C177" s="145">
        <f>+'PRIVADO COMPLETO'!O227</f>
        <v>0</v>
      </c>
    </row>
    <row r="178" spans="2:3" ht="15">
      <c r="B178" s="141" t="str">
        <f>+'PRIVADO COMPLETO'!A228</f>
        <v>Obsequios cumpleaños varios</v>
      </c>
      <c r="C178" s="145">
        <f>+'PRIVADO COMPLETO'!O228</f>
        <v>840000</v>
      </c>
    </row>
    <row r="179" spans="2:3" ht="15">
      <c r="B179" s="141"/>
      <c r="C179" s="145"/>
    </row>
    <row r="181" spans="2:6" ht="15">
      <c r="B181" s="143" t="s">
        <v>367</v>
      </c>
      <c r="C181" s="144">
        <f>+SUM(C184:C190)+C193+C194+C195</f>
        <v>16380000</v>
      </c>
      <c r="D181" s="377" t="s">
        <v>369</v>
      </c>
      <c r="E181" s="377"/>
      <c r="F181" s="377"/>
    </row>
    <row r="182" spans="4:6" ht="15">
      <c r="D182" s="146" t="s">
        <v>370</v>
      </c>
      <c r="E182" s="146" t="s">
        <v>371</v>
      </c>
      <c r="F182" s="146" t="s">
        <v>372</v>
      </c>
    </row>
    <row r="183" spans="4:6" ht="15">
      <c r="D183" s="146"/>
      <c r="E183" s="146"/>
      <c r="F183" s="146"/>
    </row>
    <row r="184" spans="2:6" ht="15">
      <c r="B184" s="141" t="str">
        <f>+'PUBLICO COMPLETO'!A141</f>
        <v>Manejo</v>
      </c>
      <c r="C184" s="145">
        <f>+'PUBLICO COMPLETO'!O141</f>
        <v>873000</v>
      </c>
      <c r="D184" s="145">
        <v>3000000</v>
      </c>
      <c r="E184" s="145"/>
      <c r="F184" s="145"/>
    </row>
    <row r="185" spans="2:6" ht="15">
      <c r="B185" s="141" t="str">
        <f>+'PUBLICO COMPLETO'!A143</f>
        <v>Corriente Débil</v>
      </c>
      <c r="C185" s="145">
        <f>+'PUBLICO COMPLETO'!O143</f>
        <v>113000</v>
      </c>
      <c r="D185" s="145">
        <v>301895980</v>
      </c>
      <c r="E185" s="145">
        <v>10771363</v>
      </c>
      <c r="F185" s="145">
        <v>8610687</v>
      </c>
    </row>
    <row r="186" spans="2:6" ht="15">
      <c r="B186" s="141" t="s">
        <v>373</v>
      </c>
      <c r="C186" s="145"/>
      <c r="D186" s="145">
        <v>11661359</v>
      </c>
      <c r="E186" s="145"/>
      <c r="F186" s="145"/>
    </row>
    <row r="187" spans="2:6" ht="15">
      <c r="B187" s="141" t="str">
        <f>+'PUBLICO COMPLETO'!A144</f>
        <v>Incendio</v>
      </c>
      <c r="C187" s="145">
        <f>+'PUBLICO COMPLETO'!O144</f>
        <v>1391000</v>
      </c>
      <c r="D187" s="376">
        <v>2303262</v>
      </c>
      <c r="E187" s="145"/>
      <c r="F187" s="145"/>
    </row>
    <row r="188" spans="2:6" ht="15">
      <c r="B188" s="141" t="str">
        <f>+'PUBLICO COMPLETO'!A145</f>
        <v>Terremoto</v>
      </c>
      <c r="C188" s="145">
        <f>+'PUBLICO COMPLETO'!O145</f>
        <v>2028000</v>
      </c>
      <c r="D188" s="376"/>
      <c r="E188" s="145"/>
      <c r="F188" s="145"/>
    </row>
    <row r="189" spans="2:6" ht="15">
      <c r="B189" s="141" t="str">
        <f>+'PUBLICO COMPLETO'!A146</f>
        <v>Sustracción y Hurto</v>
      </c>
      <c r="C189" s="145">
        <f>+'PUBLICO COMPLETO'!O146</f>
        <v>25000</v>
      </c>
      <c r="D189" s="145">
        <v>419517498</v>
      </c>
      <c r="E189" s="145">
        <v>10771363</v>
      </c>
      <c r="F189" s="145">
        <v>5000000</v>
      </c>
    </row>
    <row r="190" spans="2:6" ht="15">
      <c r="B190" s="141" t="s">
        <v>368</v>
      </c>
      <c r="C190" s="145">
        <f>+'PUBLICO COMPLETO'!O150</f>
        <v>5114000</v>
      </c>
      <c r="D190" s="145"/>
      <c r="E190" s="145"/>
      <c r="F190" s="145"/>
    </row>
    <row r="191" spans="2:4" ht="15">
      <c r="B191" s="85" t="str">
        <f>+'PUBLICO COMPLETO'!A151</f>
        <v xml:space="preserve">       Resp.Civil Cámara</v>
      </c>
      <c r="C191" s="142">
        <f>+'PUBLICO COMPLETO'!O151</f>
        <v>518000</v>
      </c>
      <c r="D191" s="142">
        <v>200000000</v>
      </c>
    </row>
    <row r="192" spans="2:4" ht="15">
      <c r="B192" s="141" t="str">
        <f>+'PUBLICO COMPLETO'!A152</f>
        <v xml:space="preserve">       Resp.Civil Confecámaras</v>
      </c>
      <c r="C192" s="142">
        <f>+'PUBLICO COMPLETO'!O152</f>
        <v>4596000</v>
      </c>
      <c r="D192" s="142">
        <v>6000000000</v>
      </c>
    </row>
    <row r="193" spans="2:4" ht="15">
      <c r="B193" s="141" t="str">
        <f>+'PUBLICO COMPLETO'!A147</f>
        <v>Transporte valores</v>
      </c>
      <c r="C193" s="145">
        <f>+'PUBLICO COMPLETO'!O147</f>
        <v>4488000</v>
      </c>
      <c r="D193" s="142"/>
    </row>
    <row r="194" spans="2:6" ht="15">
      <c r="B194" s="141" t="str">
        <f>+'PUBLICO COMPLETO'!A148</f>
        <v>Poliza del Vehiculo de Cámara</v>
      </c>
      <c r="C194" s="145">
        <f>+'PUBLICO COMPLETO'!O148</f>
        <v>2164000</v>
      </c>
      <c r="D194" s="145">
        <v>7000000</v>
      </c>
      <c r="E194" s="145"/>
      <c r="F194" s="145"/>
    </row>
    <row r="195" spans="2:6" ht="15">
      <c r="B195" s="141" t="str">
        <f>+'PUBLICO COMPLETO'!A149</f>
        <v>Actos mal intencionados de terceros</v>
      </c>
      <c r="C195" s="145">
        <f>+'PUBLICO COMPLETO'!O149</f>
        <v>184000</v>
      </c>
      <c r="D195" s="145">
        <v>15000000</v>
      </c>
      <c r="E195" s="145"/>
      <c r="F195" s="145"/>
    </row>
    <row r="197" spans="2:3" ht="15">
      <c r="B197" s="143" t="s">
        <v>590</v>
      </c>
      <c r="C197" s="144">
        <f>+C199</f>
        <v>25500380.27</v>
      </c>
    </row>
    <row r="199" spans="2:3" ht="15">
      <c r="B199" s="141" t="str">
        <f>+'PRIVADO COMPLETO'!A230</f>
        <v>FINANCIEROS</v>
      </c>
      <c r="C199" s="145">
        <f>+SUM(C200:C203)</f>
        <v>25500380.27</v>
      </c>
    </row>
    <row r="200" spans="2:3" ht="15">
      <c r="B200" s="141" t="str">
        <f>+'PRIVADO COMPLETO'!A231</f>
        <v>Gravamen 4 x 1000</v>
      </c>
      <c r="C200" s="145">
        <f>+'PRIVADO COMPLETO'!O231</f>
        <v>2987047.3100000005</v>
      </c>
    </row>
    <row r="201" spans="2:3" ht="15">
      <c r="B201" s="141" t="str">
        <f>+'PRIVADO COMPLETO'!A232</f>
        <v>Chequeras</v>
      </c>
      <c r="C201" s="145">
        <f>+'PRIVADO COMPLETO'!O232</f>
        <v>500000</v>
      </c>
    </row>
    <row r="202" spans="2:3" ht="15">
      <c r="B202" s="141" t="str">
        <f>+'PRIVADO COMPLETO'!A233</f>
        <v>Comisiones</v>
      </c>
      <c r="C202" s="145">
        <f>+'PRIVADO COMPLETO'!O233</f>
        <v>1565332.9600000002</v>
      </c>
    </row>
    <row r="203" spans="2:3" ht="15">
      <c r="B203" s="141" t="str">
        <f>+'PRIVADO COMPLETO'!A234</f>
        <v>Intereses Obligaciones financieras</v>
      </c>
      <c r="C203" s="145">
        <f>+'PRIVADO COMPLETO'!O234</f>
        <v>20448000</v>
      </c>
    </row>
    <row r="204" spans="2:3" ht="15">
      <c r="B204" s="141" t="str">
        <f>+'PRIVADO COMPLETO'!A235</f>
        <v xml:space="preserve">     </v>
      </c>
      <c r="C204" s="145"/>
    </row>
    <row r="205" spans="2:3" ht="15">
      <c r="B205" s="141"/>
      <c r="C205" s="145"/>
    </row>
    <row r="206" spans="2:3" ht="15">
      <c r="B206" s="143" t="s">
        <v>599</v>
      </c>
      <c r="C206" s="144">
        <f>+SUM(C208:C213)</f>
        <v>1357260000</v>
      </c>
    </row>
    <row r="208" spans="2:3" ht="15">
      <c r="B208" s="141" t="s">
        <v>594</v>
      </c>
      <c r="C208" s="145">
        <f>+'PUBLICO COMPLETO'!O63+'PUBLICO COMPLETO'!O64</f>
        <v>824916000</v>
      </c>
    </row>
    <row r="209" spans="2:3" ht="15">
      <c r="B209" s="141" t="s">
        <v>595</v>
      </c>
      <c r="C209" s="145">
        <f>+'PUBLICO COMPLETO'!O65+'PUBLICO COMPLETO'!O66+'PUBLICO COMPLETO'!O67+'PUBLICO COMPLETO'!O68+'PUBLICO COMPLETO'!O73+'PUBLICO COMPLETO'!O74+'PUBLICO COMPLETO'!O75+'PUBLICO COMPLETO'!O76+'PUBLICO COMPLETO'!O77+'PUBLICO COMPLETO'!O78</f>
        <v>439260000</v>
      </c>
    </row>
    <row r="210" spans="2:3" ht="15">
      <c r="B210" s="141" t="s">
        <v>693</v>
      </c>
      <c r="C210" s="145">
        <f>+'PUBLICO COMPLETO'!O70</f>
        <v>54216000</v>
      </c>
    </row>
    <row r="211" spans="2:3" ht="15">
      <c r="B211" s="141" t="s">
        <v>596</v>
      </c>
      <c r="C211" s="145">
        <f>+'PUBLICO COMPLETO'!O72</f>
        <v>22968000</v>
      </c>
    </row>
    <row r="212" spans="2:3" ht="15">
      <c r="B212" s="141" t="s">
        <v>597</v>
      </c>
      <c r="C212" s="145">
        <f>+'PUBLICO COMPLETO'!O71</f>
        <v>14900000</v>
      </c>
    </row>
    <row r="213" spans="2:3" ht="15">
      <c r="B213" s="141" t="s">
        <v>598</v>
      </c>
      <c r="C213" s="145">
        <f>+'PUBLICO COMPLETO'!O80</f>
        <v>1000000</v>
      </c>
    </row>
    <row r="217" spans="2:3" ht="15">
      <c r="B217" s="143" t="s">
        <v>694</v>
      </c>
      <c r="C217" s="144">
        <f>+SUM(C219:C226)</f>
        <v>64363500</v>
      </c>
    </row>
    <row r="219" spans="2:3" ht="15">
      <c r="B219" s="141" t="s">
        <v>594</v>
      </c>
      <c r="C219" s="145">
        <f>+'PRIVADO COMPLETO'!O57+'PRIVADO COMPLETO'!O59</f>
        <v>12996000</v>
      </c>
    </row>
    <row r="220" spans="2:3" ht="15">
      <c r="B220" s="141" t="s">
        <v>595</v>
      </c>
      <c r="C220" s="145">
        <f>+'PRIVADO COMPLETO'!O60+'PRIVADO COMPLETO'!O61+'PRIVADO COMPLETO'!O62+'PRIVADO COMPLETO'!O63+'PRIVADO COMPLETO'!O71+'PRIVADO COMPLETO'!O72+'PRIVADO COMPLETO'!O73+'PRIVADO COMPLETO'!O74+'PRIVADO COMPLETO'!O75+'PRIVADO COMPLETO'!O76</f>
        <v>7428000</v>
      </c>
    </row>
    <row r="221" spans="2:3" ht="15">
      <c r="B221" s="141" t="s">
        <v>695</v>
      </c>
      <c r="C221" s="145">
        <f>+'PRIVADO COMPLETO'!O64</f>
        <v>18600000</v>
      </c>
    </row>
    <row r="222" spans="2:3" ht="15">
      <c r="B222" s="141" t="s">
        <v>696</v>
      </c>
      <c r="C222" s="145">
        <f>+'PRIVADO COMPLETO'!O65</f>
        <v>18000000</v>
      </c>
    </row>
    <row r="223" spans="2:3" ht="15" hidden="1">
      <c r="B223" s="141" t="s">
        <v>697</v>
      </c>
      <c r="C223" s="145">
        <f>+'PRIVADO COMPLETO'!O66</f>
        <v>0</v>
      </c>
    </row>
    <row r="224" spans="2:3" ht="15" hidden="1">
      <c r="B224" s="141"/>
      <c r="C224" s="145">
        <f>+'PRIVADO COMPLETO'!O67</f>
        <v>0</v>
      </c>
    </row>
    <row r="225" spans="2:3" ht="15">
      <c r="B225" s="141" t="s">
        <v>707</v>
      </c>
      <c r="C225" s="145">
        <f>+'PRIVADO COMPLETO'!O68</f>
        <v>6839500</v>
      </c>
    </row>
    <row r="226" spans="2:3" ht="15">
      <c r="B226" s="141" t="s">
        <v>597</v>
      </c>
      <c r="C226" s="145">
        <f>+'PRIVADO COMPLETO'!O69</f>
        <v>500000</v>
      </c>
    </row>
    <row r="229" spans="2:3" ht="15">
      <c r="B229" s="143" t="s">
        <v>698</v>
      </c>
      <c r="C229" s="144">
        <f>+C231+C246+C249+C254+C264</f>
        <v>71189000</v>
      </c>
    </row>
    <row r="230" ht="11.25" customHeight="1"/>
    <row r="231" spans="2:3" ht="15">
      <c r="B231" s="148" t="str">
        <f>+'PUBLICO COMPLETO'!A231</f>
        <v>Construcciones y Edificaciones</v>
      </c>
      <c r="C231" s="144">
        <f>+'PUBLICO COMPLETO'!O231</f>
        <v>42277000</v>
      </c>
    </row>
    <row r="232" spans="2:3" ht="15" hidden="1">
      <c r="B232" s="141" t="str">
        <f>+'PUBLICO COMPLETO'!A232</f>
        <v xml:space="preserve">       Mejoras en propiedad ajena (Of.Unión)</v>
      </c>
      <c r="C232" s="145">
        <f>+'PUBLICO COMPLETO'!O232</f>
        <v>0</v>
      </c>
    </row>
    <row r="233" spans="2:3" ht="15">
      <c r="B233" s="141" t="str">
        <f>+'PUBLICO COMPLETO'!A233</f>
        <v xml:space="preserve">       Pintura interior del edificio</v>
      </c>
      <c r="C233" s="145">
        <f>+'PUBLICO COMPLETO'!O233</f>
        <v>9000000</v>
      </c>
    </row>
    <row r="234" spans="2:3" ht="15">
      <c r="B234" s="141" t="str">
        <f>+'PUBLICO COMPLETO'!A234</f>
        <v xml:space="preserve">       Pintura externa edificio principal</v>
      </c>
      <c r="C234" s="145">
        <f>+'PUBLICO COMPLETO'!O234</f>
        <v>25000000</v>
      </c>
    </row>
    <row r="235" spans="2:3" ht="15" hidden="1">
      <c r="B235" s="141" t="str">
        <f>+'PUBLICO COMPLETO'!A235</f>
        <v xml:space="preserve">       Mantenim. Plancha edificio</v>
      </c>
      <c r="C235" s="145">
        <f>+'PUBLICO COMPLETO'!O235</f>
        <v>0</v>
      </c>
    </row>
    <row r="236" spans="2:3" ht="15">
      <c r="B236" s="141" t="str">
        <f>+'PUBLICO COMPLETO'!A236</f>
        <v xml:space="preserve">       Mantenimiento tanques de reserva</v>
      </c>
      <c r="C236" s="145">
        <f>+'PUBLICO COMPLETO'!O236</f>
        <v>483000</v>
      </c>
    </row>
    <row r="237" spans="2:3" ht="15">
      <c r="B237" s="141" t="str">
        <f>+'PUBLICO COMPLETO'!A237</f>
        <v xml:space="preserve">       Mantenimientos menores</v>
      </c>
      <c r="C237" s="145">
        <f>+'PUBLICO COMPLETO'!O237</f>
        <v>1071000</v>
      </c>
    </row>
    <row r="238" spans="2:3" ht="15">
      <c r="B238" s="141" t="str">
        <f>+'PUBLICO COMPLETO'!A238</f>
        <v xml:space="preserve">       Fumigacion</v>
      </c>
      <c r="C238" s="145">
        <f>+'PUBLICO COMPLETO'!O238</f>
        <v>730000</v>
      </c>
    </row>
    <row r="239" spans="2:3" ht="15" hidden="1">
      <c r="B239" s="141" t="str">
        <f>+'PUBLICO COMPLETO'!A239</f>
        <v xml:space="preserve">       Adecuación archivo Central</v>
      </c>
      <c r="C239" s="145">
        <f>+'PUBLICO COMPLETO'!O239</f>
        <v>0</v>
      </c>
    </row>
    <row r="240" spans="2:3" ht="15">
      <c r="B240" s="141" t="str">
        <f>+'PUBLICO COMPLETO'!A240</f>
        <v xml:space="preserve">       Reparaciones eléctricas</v>
      </c>
      <c r="C240" s="145">
        <f>+'PUBLICO COMPLETO'!O240</f>
        <v>5993000</v>
      </c>
    </row>
    <row r="241" spans="2:3" ht="15">
      <c r="B241" s="141" t="str">
        <f>+'PUBLICO COMPLETO'!A241</f>
        <v xml:space="preserve">                 Tubos lámparas </v>
      </c>
      <c r="C241" s="145">
        <f>+'PUBLICO COMPLETO'!O241</f>
        <v>321000</v>
      </c>
    </row>
    <row r="242" spans="2:3" ht="15">
      <c r="B242" s="141" t="str">
        <f>+'PUBLICO COMPLETO'!A242</f>
        <v xml:space="preserve">                 Balastas</v>
      </c>
      <c r="C242" s="145">
        <f>+'PUBLICO COMPLETO'!O242</f>
        <v>108000</v>
      </c>
    </row>
    <row r="243" spans="2:3" ht="15">
      <c r="B243" s="141" t="str">
        <f>+'PUBLICO COMPLETO'!A243</f>
        <v xml:space="preserve">                 Mantenimientos varios Electricos</v>
      </c>
      <c r="C243" s="145">
        <f>+'PUBLICO COMPLETO'!O243</f>
        <v>1284000</v>
      </c>
    </row>
    <row r="244" spans="2:3" ht="15">
      <c r="B244" s="141" t="str">
        <f>+'PUBLICO COMPLETO'!A244</f>
        <v xml:space="preserve">                 Mantenimiento luces externas edificio</v>
      </c>
      <c r="C244" s="145">
        <f>+'PUBLICO COMPLETO'!O244</f>
        <v>428000</v>
      </c>
    </row>
    <row r="245" spans="2:3" ht="15">
      <c r="B245" s="141" t="str">
        <f>+'PUBLICO COMPLETO'!A245</f>
        <v xml:space="preserve">                 Mantenimiento subestación  eléctrica</v>
      </c>
      <c r="C245" s="145">
        <f>+'PUBLICO COMPLETO'!O245</f>
        <v>3852000</v>
      </c>
    </row>
    <row r="246" spans="2:3" ht="15">
      <c r="B246" s="148" t="str">
        <f>+'PUBLICO COMPLETO'!A246</f>
        <v>Maquinaria y Equipo</v>
      </c>
      <c r="C246" s="144">
        <f>+'PUBLICO COMPLETO'!O246</f>
        <v>2681000</v>
      </c>
    </row>
    <row r="247" spans="2:3" ht="15">
      <c r="B247" s="141" t="str">
        <f>+'PUBLICO COMPLETO'!A247</f>
        <v xml:space="preserve">        Mantenim.Planta eléctrica</v>
      </c>
      <c r="C247" s="145">
        <f>+'PUBLICO COMPLETO'!O247</f>
        <v>2016000</v>
      </c>
    </row>
    <row r="248" spans="2:3" ht="15">
      <c r="B248" s="141" t="str">
        <f>+'PUBLICO COMPLETO'!A248</f>
        <v xml:space="preserve">        Repuestos Planta electrica</v>
      </c>
      <c r="C248" s="145">
        <f>+'PUBLICO COMPLETO'!O248</f>
        <v>665000</v>
      </c>
    </row>
    <row r="249" spans="2:3" ht="15">
      <c r="B249" s="148" t="str">
        <f>+'PUBLICO COMPLETO'!A249</f>
        <v>Equipo de Oficina</v>
      </c>
      <c r="C249" s="144">
        <f>+'PUBLICO COMPLETO'!O249</f>
        <v>8410000</v>
      </c>
    </row>
    <row r="250" spans="2:3" ht="15">
      <c r="B250" s="141" t="str">
        <f>+'PUBLICO COMPLETO'!A250</f>
        <v xml:space="preserve">       Mantenimiento de Aires (23 unds.) </v>
      </c>
      <c r="C250" s="145">
        <f>+'PUBLICO COMPLETO'!O250</f>
        <v>7818000</v>
      </c>
    </row>
    <row r="251" spans="2:3" ht="15">
      <c r="B251" s="141" t="str">
        <f>+'PUBLICO COMPLETO'!A251</f>
        <v xml:space="preserve">       Recarga extintores</v>
      </c>
      <c r="C251" s="145">
        <f>+'PUBLICO COMPLETO'!O251</f>
        <v>184000</v>
      </c>
    </row>
    <row r="252" spans="2:3" ht="15">
      <c r="B252" s="141" t="str">
        <f>+'PUBLICO COMPLETO'!A252</f>
        <v xml:space="preserve">       Reparación sillas  y otros</v>
      </c>
      <c r="C252" s="145">
        <f>+'PUBLICO COMPLETO'!O252</f>
        <v>108000</v>
      </c>
    </row>
    <row r="253" spans="2:3" ht="15">
      <c r="B253" s="141" t="str">
        <f>+'PUBLICO COMPLETO'!A253</f>
        <v xml:space="preserve">       Cambio filtro y MO purificador agua</v>
      </c>
      <c r="C253" s="145">
        <f>+'PUBLICO COMPLETO'!O253</f>
        <v>300000</v>
      </c>
    </row>
    <row r="254" spans="2:3" ht="15">
      <c r="B254" s="148" t="str">
        <f>+'PUBLICO COMPLETO'!A254</f>
        <v>Equipo de Computación y Comunicación</v>
      </c>
      <c r="C254" s="144">
        <f>+'PUBLICO COMPLETO'!O254</f>
        <v>15331000</v>
      </c>
    </row>
    <row r="255" spans="2:3" ht="15">
      <c r="B255" s="141" t="str">
        <f>+'PUBLICO COMPLETO'!A255</f>
        <v xml:space="preserve">        Mantenimiento central telefónica</v>
      </c>
      <c r="C255" s="145">
        <f>+'PUBLICO COMPLETO'!O255</f>
        <v>535000</v>
      </c>
    </row>
    <row r="256" spans="2:3" ht="15">
      <c r="B256" s="141" t="str">
        <f>+'PUBLICO COMPLETO'!A256</f>
        <v xml:space="preserve">        Kit mantenimiento impresora</v>
      </c>
      <c r="C256" s="145">
        <f>+'PUBLICO COMPLETO'!O256</f>
        <v>2190000</v>
      </c>
    </row>
    <row r="257" spans="2:3" ht="15">
      <c r="B257" s="141" t="str">
        <f>+'PUBLICO COMPLETO'!A257</f>
        <v xml:space="preserve">        Mantenim. Impresoras lasser</v>
      </c>
      <c r="C257" s="145">
        <f>+'PUBLICO COMPLETO'!O257</f>
        <v>1986000</v>
      </c>
    </row>
    <row r="258" spans="2:3" ht="15">
      <c r="B258" s="141" t="str">
        <f>+'PUBLICO COMPLETO'!A258</f>
        <v xml:space="preserve">        Insumos y herramientas equipos de computo</v>
      </c>
      <c r="C258" s="145">
        <f>+'PUBLICO COMPLETO'!O258</f>
        <v>855000</v>
      </c>
    </row>
    <row r="259" spans="2:3" ht="15">
      <c r="B259" s="141" t="str">
        <f>+'PUBLICO COMPLETO'!A259</f>
        <v xml:space="preserve">        Mantenim. UPS</v>
      </c>
      <c r="C259" s="145">
        <f>+'PUBLICO COMPLETO'!O259</f>
        <v>1824000</v>
      </c>
    </row>
    <row r="260" spans="2:3" ht="15">
      <c r="B260" s="141" t="str">
        <f>+'PUBLICO COMPLETO'!A260</f>
        <v xml:space="preserve">        Baterias para UPS</v>
      </c>
      <c r="C260" s="145">
        <f>+'PUBLICO COMPLETO'!O260</f>
        <v>214000</v>
      </c>
    </row>
    <row r="261" spans="2:3" ht="15">
      <c r="B261" s="141" t="str">
        <f>+'PUBLICO COMPLETO'!A261</f>
        <v xml:space="preserve">        Kit scanner</v>
      </c>
      <c r="C261" s="145">
        <f>+'PUBLICO COMPLETO'!O261</f>
        <v>503000</v>
      </c>
    </row>
    <row r="262" spans="2:3" ht="15">
      <c r="B262" s="141" t="str">
        <f>+'PUBLICO COMPLETO'!A262</f>
        <v xml:space="preserve">        Mantenimiento de Camaras de Seguridad</v>
      </c>
      <c r="C262" s="145">
        <f>+'PUBLICO COMPLETO'!O262</f>
        <v>546000</v>
      </c>
    </row>
    <row r="263" spans="2:3" ht="15">
      <c r="B263" s="141" t="str">
        <f>+'PUBLICO COMPLETO'!A263</f>
        <v xml:space="preserve">        Manten.Scanner</v>
      </c>
      <c r="C263" s="145">
        <f>+'PUBLICO COMPLETO'!O263</f>
        <v>6678000</v>
      </c>
    </row>
    <row r="264" spans="2:3" ht="15">
      <c r="B264" s="148" t="str">
        <f>+'PUBLICO COMPLETO'!A264</f>
        <v>Vehiculos</v>
      </c>
      <c r="C264" s="144">
        <f>+'PUBLICO COMPLETO'!O264</f>
        <v>2490000</v>
      </c>
    </row>
    <row r="265" spans="2:3" ht="15">
      <c r="B265" s="141" t="str">
        <f>+'PUBLICO COMPLETO'!A265</f>
        <v xml:space="preserve">       Mantenimiento vehiculo</v>
      </c>
      <c r="C265" s="145">
        <f>+'PUBLICO COMPLETO'!O265</f>
        <v>2490000</v>
      </c>
    </row>
    <row r="266" ht="15">
      <c r="B266" s="141"/>
    </row>
    <row r="269" ht="15">
      <c r="B269" s="143"/>
    </row>
  </sheetData>
  <mergeCells count="2">
    <mergeCell ref="D187:D188"/>
    <mergeCell ref="D181:F18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O21"/>
  <sheetViews>
    <sheetView workbookViewId="0" topLeftCell="A1">
      <pane xSplit="2" topLeftCell="C1" activePane="topRight" state="frozen"/>
      <selection pane="topRight" activeCell="C8" sqref="C8"/>
    </sheetView>
  </sheetViews>
  <sheetFormatPr defaultColWidth="11.28125" defaultRowHeight="15"/>
  <cols>
    <col min="1" max="1" width="3.28125" style="150" customWidth="1"/>
    <col min="2" max="2" width="41.421875" style="150" customWidth="1"/>
    <col min="3" max="6" width="14.57421875" style="150" bestFit="1" customWidth="1"/>
    <col min="7" max="7" width="15.57421875" style="150" bestFit="1" customWidth="1"/>
    <col min="8" max="8" width="11.421875" style="150" bestFit="1" customWidth="1"/>
    <col min="9" max="10" width="12.00390625" style="150" bestFit="1" customWidth="1"/>
    <col min="11" max="11" width="15.8515625" style="150" bestFit="1" customWidth="1"/>
    <col min="12" max="14" width="11.421875" style="150" bestFit="1" customWidth="1"/>
    <col min="15" max="256" width="11.28125" style="150" customWidth="1"/>
    <col min="257" max="257" width="3.28125" style="150" customWidth="1"/>
    <col min="258" max="258" width="33.140625" style="150" customWidth="1"/>
    <col min="259" max="512" width="11.28125" style="150" customWidth="1"/>
    <col min="513" max="513" width="3.28125" style="150" customWidth="1"/>
    <col min="514" max="514" width="33.140625" style="150" customWidth="1"/>
    <col min="515" max="768" width="11.28125" style="150" customWidth="1"/>
    <col min="769" max="769" width="3.28125" style="150" customWidth="1"/>
    <col min="770" max="770" width="33.140625" style="150" customWidth="1"/>
    <col min="771" max="1024" width="11.28125" style="150" customWidth="1"/>
    <col min="1025" max="1025" width="3.28125" style="150" customWidth="1"/>
    <col min="1026" max="1026" width="33.140625" style="150" customWidth="1"/>
    <col min="1027" max="1280" width="11.28125" style="150" customWidth="1"/>
    <col min="1281" max="1281" width="3.28125" style="150" customWidth="1"/>
    <col min="1282" max="1282" width="33.140625" style="150" customWidth="1"/>
    <col min="1283" max="1536" width="11.28125" style="150" customWidth="1"/>
    <col min="1537" max="1537" width="3.28125" style="150" customWidth="1"/>
    <col min="1538" max="1538" width="33.140625" style="150" customWidth="1"/>
    <col min="1539" max="1792" width="11.28125" style="150" customWidth="1"/>
    <col min="1793" max="1793" width="3.28125" style="150" customWidth="1"/>
    <col min="1794" max="1794" width="33.140625" style="150" customWidth="1"/>
    <col min="1795" max="2048" width="11.28125" style="150" customWidth="1"/>
    <col min="2049" max="2049" width="3.28125" style="150" customWidth="1"/>
    <col min="2050" max="2050" width="33.140625" style="150" customWidth="1"/>
    <col min="2051" max="2304" width="11.28125" style="150" customWidth="1"/>
    <col min="2305" max="2305" width="3.28125" style="150" customWidth="1"/>
    <col min="2306" max="2306" width="33.140625" style="150" customWidth="1"/>
    <col min="2307" max="2560" width="11.28125" style="150" customWidth="1"/>
    <col min="2561" max="2561" width="3.28125" style="150" customWidth="1"/>
    <col min="2562" max="2562" width="33.140625" style="150" customWidth="1"/>
    <col min="2563" max="2816" width="11.28125" style="150" customWidth="1"/>
    <col min="2817" max="2817" width="3.28125" style="150" customWidth="1"/>
    <col min="2818" max="2818" width="33.140625" style="150" customWidth="1"/>
    <col min="2819" max="3072" width="11.28125" style="150" customWidth="1"/>
    <col min="3073" max="3073" width="3.28125" style="150" customWidth="1"/>
    <col min="3074" max="3074" width="33.140625" style="150" customWidth="1"/>
    <col min="3075" max="3328" width="11.28125" style="150" customWidth="1"/>
    <col min="3329" max="3329" width="3.28125" style="150" customWidth="1"/>
    <col min="3330" max="3330" width="33.140625" style="150" customWidth="1"/>
    <col min="3331" max="3584" width="11.28125" style="150" customWidth="1"/>
    <col min="3585" max="3585" width="3.28125" style="150" customWidth="1"/>
    <col min="3586" max="3586" width="33.140625" style="150" customWidth="1"/>
    <col min="3587" max="3840" width="11.28125" style="150" customWidth="1"/>
    <col min="3841" max="3841" width="3.28125" style="150" customWidth="1"/>
    <col min="3842" max="3842" width="33.140625" style="150" customWidth="1"/>
    <col min="3843" max="4096" width="11.28125" style="150" customWidth="1"/>
    <col min="4097" max="4097" width="3.28125" style="150" customWidth="1"/>
    <col min="4098" max="4098" width="33.140625" style="150" customWidth="1"/>
    <col min="4099" max="4352" width="11.28125" style="150" customWidth="1"/>
    <col min="4353" max="4353" width="3.28125" style="150" customWidth="1"/>
    <col min="4354" max="4354" width="33.140625" style="150" customWidth="1"/>
    <col min="4355" max="4608" width="11.28125" style="150" customWidth="1"/>
    <col min="4609" max="4609" width="3.28125" style="150" customWidth="1"/>
    <col min="4610" max="4610" width="33.140625" style="150" customWidth="1"/>
    <col min="4611" max="4864" width="11.28125" style="150" customWidth="1"/>
    <col min="4865" max="4865" width="3.28125" style="150" customWidth="1"/>
    <col min="4866" max="4866" width="33.140625" style="150" customWidth="1"/>
    <col min="4867" max="5120" width="11.28125" style="150" customWidth="1"/>
    <col min="5121" max="5121" width="3.28125" style="150" customWidth="1"/>
    <col min="5122" max="5122" width="33.140625" style="150" customWidth="1"/>
    <col min="5123" max="5376" width="11.28125" style="150" customWidth="1"/>
    <col min="5377" max="5377" width="3.28125" style="150" customWidth="1"/>
    <col min="5378" max="5378" width="33.140625" style="150" customWidth="1"/>
    <col min="5379" max="5632" width="11.28125" style="150" customWidth="1"/>
    <col min="5633" max="5633" width="3.28125" style="150" customWidth="1"/>
    <col min="5634" max="5634" width="33.140625" style="150" customWidth="1"/>
    <col min="5635" max="5888" width="11.28125" style="150" customWidth="1"/>
    <col min="5889" max="5889" width="3.28125" style="150" customWidth="1"/>
    <col min="5890" max="5890" width="33.140625" style="150" customWidth="1"/>
    <col min="5891" max="6144" width="11.28125" style="150" customWidth="1"/>
    <col min="6145" max="6145" width="3.28125" style="150" customWidth="1"/>
    <col min="6146" max="6146" width="33.140625" style="150" customWidth="1"/>
    <col min="6147" max="6400" width="11.28125" style="150" customWidth="1"/>
    <col min="6401" max="6401" width="3.28125" style="150" customWidth="1"/>
    <col min="6402" max="6402" width="33.140625" style="150" customWidth="1"/>
    <col min="6403" max="6656" width="11.28125" style="150" customWidth="1"/>
    <col min="6657" max="6657" width="3.28125" style="150" customWidth="1"/>
    <col min="6658" max="6658" width="33.140625" style="150" customWidth="1"/>
    <col min="6659" max="6912" width="11.28125" style="150" customWidth="1"/>
    <col min="6913" max="6913" width="3.28125" style="150" customWidth="1"/>
    <col min="6914" max="6914" width="33.140625" style="150" customWidth="1"/>
    <col min="6915" max="7168" width="11.28125" style="150" customWidth="1"/>
    <col min="7169" max="7169" width="3.28125" style="150" customWidth="1"/>
    <col min="7170" max="7170" width="33.140625" style="150" customWidth="1"/>
    <col min="7171" max="7424" width="11.28125" style="150" customWidth="1"/>
    <col min="7425" max="7425" width="3.28125" style="150" customWidth="1"/>
    <col min="7426" max="7426" width="33.140625" style="150" customWidth="1"/>
    <col min="7427" max="7680" width="11.28125" style="150" customWidth="1"/>
    <col min="7681" max="7681" width="3.28125" style="150" customWidth="1"/>
    <col min="7682" max="7682" width="33.140625" style="150" customWidth="1"/>
    <col min="7683" max="7936" width="11.28125" style="150" customWidth="1"/>
    <col min="7937" max="7937" width="3.28125" style="150" customWidth="1"/>
    <col min="7938" max="7938" width="33.140625" style="150" customWidth="1"/>
    <col min="7939" max="8192" width="11.28125" style="150" customWidth="1"/>
    <col min="8193" max="8193" width="3.28125" style="150" customWidth="1"/>
    <col min="8194" max="8194" width="33.140625" style="150" customWidth="1"/>
    <col min="8195" max="8448" width="11.28125" style="150" customWidth="1"/>
    <col min="8449" max="8449" width="3.28125" style="150" customWidth="1"/>
    <col min="8450" max="8450" width="33.140625" style="150" customWidth="1"/>
    <col min="8451" max="8704" width="11.28125" style="150" customWidth="1"/>
    <col min="8705" max="8705" width="3.28125" style="150" customWidth="1"/>
    <col min="8706" max="8706" width="33.140625" style="150" customWidth="1"/>
    <col min="8707" max="8960" width="11.28125" style="150" customWidth="1"/>
    <col min="8961" max="8961" width="3.28125" style="150" customWidth="1"/>
    <col min="8962" max="8962" width="33.140625" style="150" customWidth="1"/>
    <col min="8963" max="9216" width="11.28125" style="150" customWidth="1"/>
    <col min="9217" max="9217" width="3.28125" style="150" customWidth="1"/>
    <col min="9218" max="9218" width="33.140625" style="150" customWidth="1"/>
    <col min="9219" max="9472" width="11.28125" style="150" customWidth="1"/>
    <col min="9473" max="9473" width="3.28125" style="150" customWidth="1"/>
    <col min="9474" max="9474" width="33.140625" style="150" customWidth="1"/>
    <col min="9475" max="9728" width="11.28125" style="150" customWidth="1"/>
    <col min="9729" max="9729" width="3.28125" style="150" customWidth="1"/>
    <col min="9730" max="9730" width="33.140625" style="150" customWidth="1"/>
    <col min="9731" max="9984" width="11.28125" style="150" customWidth="1"/>
    <col min="9985" max="9985" width="3.28125" style="150" customWidth="1"/>
    <col min="9986" max="9986" width="33.140625" style="150" customWidth="1"/>
    <col min="9987" max="10240" width="11.28125" style="150" customWidth="1"/>
    <col min="10241" max="10241" width="3.28125" style="150" customWidth="1"/>
    <col min="10242" max="10242" width="33.140625" style="150" customWidth="1"/>
    <col min="10243" max="10496" width="11.28125" style="150" customWidth="1"/>
    <col min="10497" max="10497" width="3.28125" style="150" customWidth="1"/>
    <col min="10498" max="10498" width="33.140625" style="150" customWidth="1"/>
    <col min="10499" max="10752" width="11.28125" style="150" customWidth="1"/>
    <col min="10753" max="10753" width="3.28125" style="150" customWidth="1"/>
    <col min="10754" max="10754" width="33.140625" style="150" customWidth="1"/>
    <col min="10755" max="11008" width="11.28125" style="150" customWidth="1"/>
    <col min="11009" max="11009" width="3.28125" style="150" customWidth="1"/>
    <col min="11010" max="11010" width="33.140625" style="150" customWidth="1"/>
    <col min="11011" max="11264" width="11.28125" style="150" customWidth="1"/>
    <col min="11265" max="11265" width="3.28125" style="150" customWidth="1"/>
    <col min="11266" max="11266" width="33.140625" style="150" customWidth="1"/>
    <col min="11267" max="11520" width="11.28125" style="150" customWidth="1"/>
    <col min="11521" max="11521" width="3.28125" style="150" customWidth="1"/>
    <col min="11522" max="11522" width="33.140625" style="150" customWidth="1"/>
    <col min="11523" max="11776" width="11.28125" style="150" customWidth="1"/>
    <col min="11777" max="11777" width="3.28125" style="150" customWidth="1"/>
    <col min="11778" max="11778" width="33.140625" style="150" customWidth="1"/>
    <col min="11779" max="12032" width="11.28125" style="150" customWidth="1"/>
    <col min="12033" max="12033" width="3.28125" style="150" customWidth="1"/>
    <col min="12034" max="12034" width="33.140625" style="150" customWidth="1"/>
    <col min="12035" max="12288" width="11.28125" style="150" customWidth="1"/>
    <col min="12289" max="12289" width="3.28125" style="150" customWidth="1"/>
    <col min="12290" max="12290" width="33.140625" style="150" customWidth="1"/>
    <col min="12291" max="12544" width="11.28125" style="150" customWidth="1"/>
    <col min="12545" max="12545" width="3.28125" style="150" customWidth="1"/>
    <col min="12546" max="12546" width="33.140625" style="150" customWidth="1"/>
    <col min="12547" max="12800" width="11.28125" style="150" customWidth="1"/>
    <col min="12801" max="12801" width="3.28125" style="150" customWidth="1"/>
    <col min="12802" max="12802" width="33.140625" style="150" customWidth="1"/>
    <col min="12803" max="13056" width="11.28125" style="150" customWidth="1"/>
    <col min="13057" max="13057" width="3.28125" style="150" customWidth="1"/>
    <col min="13058" max="13058" width="33.140625" style="150" customWidth="1"/>
    <col min="13059" max="13312" width="11.28125" style="150" customWidth="1"/>
    <col min="13313" max="13313" width="3.28125" style="150" customWidth="1"/>
    <col min="13314" max="13314" width="33.140625" style="150" customWidth="1"/>
    <col min="13315" max="13568" width="11.28125" style="150" customWidth="1"/>
    <col min="13569" max="13569" width="3.28125" style="150" customWidth="1"/>
    <col min="13570" max="13570" width="33.140625" style="150" customWidth="1"/>
    <col min="13571" max="13824" width="11.28125" style="150" customWidth="1"/>
    <col min="13825" max="13825" width="3.28125" style="150" customWidth="1"/>
    <col min="13826" max="13826" width="33.140625" style="150" customWidth="1"/>
    <col min="13827" max="14080" width="11.28125" style="150" customWidth="1"/>
    <col min="14081" max="14081" width="3.28125" style="150" customWidth="1"/>
    <col min="14082" max="14082" width="33.140625" style="150" customWidth="1"/>
    <col min="14083" max="14336" width="11.28125" style="150" customWidth="1"/>
    <col min="14337" max="14337" width="3.28125" style="150" customWidth="1"/>
    <col min="14338" max="14338" width="33.140625" style="150" customWidth="1"/>
    <col min="14339" max="14592" width="11.28125" style="150" customWidth="1"/>
    <col min="14593" max="14593" width="3.28125" style="150" customWidth="1"/>
    <col min="14594" max="14594" width="33.140625" style="150" customWidth="1"/>
    <col min="14595" max="14848" width="11.28125" style="150" customWidth="1"/>
    <col min="14849" max="14849" width="3.28125" style="150" customWidth="1"/>
    <col min="14850" max="14850" width="33.140625" style="150" customWidth="1"/>
    <col min="14851" max="15104" width="11.28125" style="150" customWidth="1"/>
    <col min="15105" max="15105" width="3.28125" style="150" customWidth="1"/>
    <col min="15106" max="15106" width="33.140625" style="150" customWidth="1"/>
    <col min="15107" max="15360" width="11.28125" style="150" customWidth="1"/>
    <col min="15361" max="15361" width="3.28125" style="150" customWidth="1"/>
    <col min="15362" max="15362" width="33.140625" style="150" customWidth="1"/>
    <col min="15363" max="15616" width="11.28125" style="150" customWidth="1"/>
    <col min="15617" max="15617" width="3.28125" style="150" customWidth="1"/>
    <col min="15618" max="15618" width="33.140625" style="150" customWidth="1"/>
    <col min="15619" max="15872" width="11.28125" style="150" customWidth="1"/>
    <col min="15873" max="15873" width="3.28125" style="150" customWidth="1"/>
    <col min="15874" max="15874" width="33.140625" style="150" customWidth="1"/>
    <col min="15875" max="16128" width="11.28125" style="150" customWidth="1"/>
    <col min="16129" max="16129" width="3.28125" style="150" customWidth="1"/>
    <col min="16130" max="16130" width="33.140625" style="150" customWidth="1"/>
    <col min="16131" max="16384" width="11.28125" style="150" customWidth="1"/>
  </cols>
  <sheetData>
    <row r="1" spans="1:15" ht="15">
      <c r="A1" s="151" t="s">
        <v>375</v>
      </c>
      <c r="B1" s="151" t="s">
        <v>376</v>
      </c>
      <c r="C1" s="151" t="s">
        <v>377</v>
      </c>
      <c r="D1" s="151" t="s">
        <v>378</v>
      </c>
      <c r="E1" s="151" t="s">
        <v>379</v>
      </c>
      <c r="F1" s="151" t="s">
        <v>380</v>
      </c>
      <c r="G1" s="151" t="s">
        <v>381</v>
      </c>
      <c r="H1" s="151" t="s">
        <v>382</v>
      </c>
      <c r="I1" s="151" t="s">
        <v>383</v>
      </c>
      <c r="J1" s="151" t="s">
        <v>384</v>
      </c>
      <c r="K1" s="151" t="s">
        <v>385</v>
      </c>
      <c r="L1" s="151" t="s">
        <v>386</v>
      </c>
      <c r="M1" s="151" t="s">
        <v>387</v>
      </c>
      <c r="N1" s="151" t="s">
        <v>388</v>
      </c>
      <c r="O1" s="151" t="s">
        <v>389</v>
      </c>
    </row>
    <row r="2" spans="1:15" ht="1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4"/>
    </row>
    <row r="3" spans="1:15" ht="15">
      <c r="A3" s="153" t="s">
        <v>390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4"/>
    </row>
    <row r="4" spans="1:15" ht="15">
      <c r="A4" s="152"/>
      <c r="B4" s="152" t="s">
        <v>391</v>
      </c>
      <c r="C4" s="314">
        <v>0</v>
      </c>
      <c r="D4" s="314">
        <v>0</v>
      </c>
      <c r="E4" s="314">
        <v>0</v>
      </c>
      <c r="F4" s="314">
        <v>0</v>
      </c>
      <c r="G4" s="314">
        <v>0</v>
      </c>
      <c r="H4" s="314">
        <v>0</v>
      </c>
      <c r="I4" s="314">
        <v>0</v>
      </c>
      <c r="J4" s="314">
        <v>0</v>
      </c>
      <c r="K4" s="314">
        <v>0</v>
      </c>
      <c r="L4" s="314">
        <v>0</v>
      </c>
      <c r="M4" s="314">
        <v>0</v>
      </c>
      <c r="N4" s="314">
        <v>0</v>
      </c>
      <c r="O4" s="154">
        <f>SUM(C4:N4)</f>
        <v>0</v>
      </c>
    </row>
    <row r="5" spans="1:15" ht="15">
      <c r="A5" s="152"/>
      <c r="B5" s="152" t="s">
        <v>392</v>
      </c>
      <c r="C5" s="314">
        <v>0</v>
      </c>
      <c r="D5" s="314">
        <v>0</v>
      </c>
      <c r="E5" s="315">
        <v>0</v>
      </c>
      <c r="F5" s="314">
        <v>0</v>
      </c>
      <c r="G5" s="314">
        <v>0</v>
      </c>
      <c r="H5" s="314">
        <v>0</v>
      </c>
      <c r="I5" s="314">
        <v>0</v>
      </c>
      <c r="J5" s="314">
        <v>0</v>
      </c>
      <c r="K5" s="314">
        <v>0</v>
      </c>
      <c r="L5" s="314">
        <v>0</v>
      </c>
      <c r="M5" s="314">
        <v>0</v>
      </c>
      <c r="N5" s="314">
        <v>0</v>
      </c>
      <c r="O5" s="154">
        <f aca="true" t="shared" si="0" ref="O5:O16">SUM(C5:N5)</f>
        <v>0</v>
      </c>
    </row>
    <row r="6" spans="1:15" ht="15">
      <c r="A6" s="152"/>
      <c r="B6" s="312" t="s">
        <v>393</v>
      </c>
      <c r="C6" s="369">
        <v>2300000</v>
      </c>
      <c r="D6" s="370">
        <v>6000000</v>
      </c>
      <c r="E6" s="315"/>
      <c r="F6" s="315"/>
      <c r="G6" s="314"/>
      <c r="H6" s="314">
        <v>0</v>
      </c>
      <c r="I6" s="315">
        <f>3500000+2300000</f>
        <v>5800000</v>
      </c>
      <c r="J6" s="315">
        <v>4000000</v>
      </c>
      <c r="K6" s="314">
        <v>2300000</v>
      </c>
      <c r="L6" s="314">
        <v>0</v>
      </c>
      <c r="M6" s="314">
        <v>0</v>
      </c>
      <c r="N6" s="314">
        <v>0</v>
      </c>
      <c r="O6" s="154">
        <f t="shared" si="0"/>
        <v>20400000</v>
      </c>
    </row>
    <row r="7" spans="1:15" ht="15">
      <c r="A7" s="152"/>
      <c r="B7" s="157" t="s">
        <v>464</v>
      </c>
      <c r="C7" s="315"/>
      <c r="D7" s="315">
        <v>0</v>
      </c>
      <c r="E7" s="315"/>
      <c r="F7" s="315"/>
      <c r="G7" s="314"/>
      <c r="H7" s="314"/>
      <c r="I7" s="314"/>
      <c r="J7" s="314"/>
      <c r="K7" s="314"/>
      <c r="L7" s="314"/>
      <c r="M7" s="314"/>
      <c r="N7" s="314"/>
      <c r="O7" s="154">
        <f t="shared" si="0"/>
        <v>0</v>
      </c>
    </row>
    <row r="8" spans="1:15" s="158" customFormat="1" ht="15">
      <c r="A8" s="156"/>
      <c r="B8" s="312" t="s">
        <v>465</v>
      </c>
      <c r="C8" s="370">
        <v>1800000</v>
      </c>
      <c r="D8" s="317"/>
      <c r="E8" s="316"/>
      <c r="F8" s="316"/>
      <c r="G8" s="318"/>
      <c r="H8" s="318"/>
      <c r="I8" s="318"/>
      <c r="J8" s="318"/>
      <c r="K8" s="318"/>
      <c r="L8" s="318"/>
      <c r="M8" s="318"/>
      <c r="N8" s="318"/>
      <c r="O8" s="154">
        <f t="shared" si="0"/>
        <v>1800000</v>
      </c>
    </row>
    <row r="9" spans="1:15" s="158" customFormat="1" ht="15">
      <c r="A9" s="156"/>
      <c r="B9" s="159" t="s">
        <v>686</v>
      </c>
      <c r="C9" s="319">
        <v>0</v>
      </c>
      <c r="D9" s="320">
        <v>0</v>
      </c>
      <c r="E9" s="320">
        <v>0</v>
      </c>
      <c r="F9" s="320">
        <v>0</v>
      </c>
      <c r="G9" s="320">
        <v>0</v>
      </c>
      <c r="H9" s="320">
        <v>0</v>
      </c>
      <c r="I9" s="319">
        <v>2300000</v>
      </c>
      <c r="J9" s="320">
        <v>0</v>
      </c>
      <c r="K9" s="320">
        <v>0</v>
      </c>
      <c r="L9" s="320">
        <v>0</v>
      </c>
      <c r="M9" s="320">
        <v>0</v>
      </c>
      <c r="N9" s="320">
        <v>0</v>
      </c>
      <c r="O9" s="154">
        <f t="shared" si="0"/>
        <v>2300000</v>
      </c>
    </row>
    <row r="10" spans="1:15" s="158" customFormat="1" ht="15">
      <c r="A10" s="156"/>
      <c r="B10" s="159" t="s">
        <v>685</v>
      </c>
      <c r="C10" s="319">
        <v>0</v>
      </c>
      <c r="D10" s="371">
        <v>900000</v>
      </c>
      <c r="E10" s="316">
        <v>0</v>
      </c>
      <c r="F10" s="318">
        <v>0</v>
      </c>
      <c r="G10" s="318">
        <v>0</v>
      </c>
      <c r="H10" s="318">
        <v>0</v>
      </c>
      <c r="I10" s="318">
        <v>0</v>
      </c>
      <c r="J10" s="318">
        <v>0</v>
      </c>
      <c r="K10" s="318">
        <v>0</v>
      </c>
      <c r="L10" s="318">
        <v>0</v>
      </c>
      <c r="M10" s="318">
        <v>0</v>
      </c>
      <c r="N10" s="318">
        <v>0</v>
      </c>
      <c r="O10" s="154">
        <f t="shared" si="0"/>
        <v>900000</v>
      </c>
    </row>
    <row r="11" spans="1:15" s="158" customFormat="1" ht="15">
      <c r="A11" s="156"/>
      <c r="B11" s="159" t="s">
        <v>579</v>
      </c>
      <c r="C11" s="319">
        <v>0</v>
      </c>
      <c r="D11" s="320">
        <v>0</v>
      </c>
      <c r="E11" s="316">
        <v>0</v>
      </c>
      <c r="F11" s="318">
        <v>0</v>
      </c>
      <c r="G11" s="318">
        <v>0</v>
      </c>
      <c r="H11" s="318">
        <v>0</v>
      </c>
      <c r="I11" s="318">
        <v>0</v>
      </c>
      <c r="J11" s="318">
        <v>0</v>
      </c>
      <c r="K11" s="318">
        <v>0</v>
      </c>
      <c r="L11" s="318">
        <v>0</v>
      </c>
      <c r="M11" s="318">
        <v>0</v>
      </c>
      <c r="N11" s="318">
        <v>0</v>
      </c>
      <c r="O11" s="154">
        <f t="shared" si="0"/>
        <v>0</v>
      </c>
    </row>
    <row r="12" spans="1:15" s="158" customFormat="1" ht="15">
      <c r="A12" s="156"/>
      <c r="B12" s="313" t="s">
        <v>580</v>
      </c>
      <c r="C12" s="319"/>
      <c r="D12" s="320"/>
      <c r="E12" s="316"/>
      <c r="F12" s="318">
        <v>0</v>
      </c>
      <c r="G12" s="318"/>
      <c r="H12" s="318"/>
      <c r="I12" s="318"/>
      <c r="J12" s="318">
        <v>2000000</v>
      </c>
      <c r="K12" s="318"/>
      <c r="L12" s="318"/>
      <c r="M12" s="318"/>
      <c r="N12" s="318"/>
      <c r="O12" s="154">
        <f t="shared" si="0"/>
        <v>2000000</v>
      </c>
    </row>
    <row r="13" spans="1:15" s="158" customFormat="1" ht="15">
      <c r="A13" s="156"/>
      <c r="B13" s="159" t="s">
        <v>581</v>
      </c>
      <c r="C13" s="321">
        <v>0</v>
      </c>
      <c r="D13" s="320"/>
      <c r="E13" s="316"/>
      <c r="F13" s="318">
        <v>0</v>
      </c>
      <c r="G13" s="318">
        <v>0</v>
      </c>
      <c r="H13" s="318"/>
      <c r="I13" s="318"/>
      <c r="J13" s="318"/>
      <c r="K13" s="318"/>
      <c r="L13" s="318"/>
      <c r="M13" s="318"/>
      <c r="N13" s="318"/>
      <c r="O13" s="154">
        <f t="shared" si="0"/>
        <v>0</v>
      </c>
    </row>
    <row r="14" spans="1:15" ht="15">
      <c r="A14" s="152"/>
      <c r="B14" s="152" t="s">
        <v>395</v>
      </c>
      <c r="C14" s="321">
        <v>0</v>
      </c>
      <c r="D14" s="314">
        <v>0</v>
      </c>
      <c r="E14" s="314">
        <v>0</v>
      </c>
      <c r="F14" s="314"/>
      <c r="G14" s="314">
        <v>0</v>
      </c>
      <c r="H14" s="314">
        <v>0</v>
      </c>
      <c r="I14" s="314">
        <v>0</v>
      </c>
      <c r="J14" s="314">
        <v>0</v>
      </c>
      <c r="K14" s="314">
        <v>0</v>
      </c>
      <c r="L14" s="314">
        <v>0</v>
      </c>
      <c r="M14" s="314">
        <v>0</v>
      </c>
      <c r="N14" s="314">
        <v>0</v>
      </c>
      <c r="O14" s="154">
        <f t="shared" si="0"/>
        <v>0</v>
      </c>
    </row>
    <row r="15" spans="1:15" ht="15">
      <c r="A15" s="152"/>
      <c r="B15" s="155" t="s">
        <v>396</v>
      </c>
      <c r="C15" s="314">
        <v>0</v>
      </c>
      <c r="D15" s="314">
        <v>0</v>
      </c>
      <c r="E15" s="314">
        <v>0</v>
      </c>
      <c r="F15" s="314">
        <v>0</v>
      </c>
      <c r="G15" s="314">
        <v>0</v>
      </c>
      <c r="H15" s="314">
        <v>0</v>
      </c>
      <c r="I15" s="314">
        <v>0</v>
      </c>
      <c r="J15" s="314">
        <v>0</v>
      </c>
      <c r="K15" s="314">
        <v>0</v>
      </c>
      <c r="L15" s="314">
        <v>0</v>
      </c>
      <c r="M15" s="314">
        <v>0</v>
      </c>
      <c r="N15" s="314">
        <v>0</v>
      </c>
      <c r="O15" s="154">
        <f t="shared" si="0"/>
        <v>0</v>
      </c>
    </row>
    <row r="16" spans="1:15" ht="15">
      <c r="A16" s="152"/>
      <c r="B16" s="152" t="s">
        <v>582</v>
      </c>
      <c r="C16" s="314">
        <v>0</v>
      </c>
      <c r="D16" s="314">
        <v>0</v>
      </c>
      <c r="E16" s="314">
        <v>0</v>
      </c>
      <c r="F16" s="314">
        <v>0</v>
      </c>
      <c r="G16" s="314">
        <v>0</v>
      </c>
      <c r="H16" s="314">
        <v>0</v>
      </c>
      <c r="I16" s="314">
        <v>0</v>
      </c>
      <c r="J16" s="314">
        <v>0</v>
      </c>
      <c r="K16" s="314">
        <v>0</v>
      </c>
      <c r="L16" s="314">
        <v>0</v>
      </c>
      <c r="M16" s="314">
        <v>0</v>
      </c>
      <c r="N16" s="314">
        <v>0</v>
      </c>
      <c r="O16" s="154">
        <f t="shared" si="0"/>
        <v>0</v>
      </c>
    </row>
    <row r="17" spans="1:15" ht="15">
      <c r="A17" s="151"/>
      <c r="B17" s="151"/>
      <c r="C17" s="161">
        <f>SUM(C4:C16)</f>
        <v>4100000</v>
      </c>
      <c r="D17" s="161">
        <f aca="true" t="shared" si="1" ref="D17:O17">SUM(D4:D16)</f>
        <v>6900000</v>
      </c>
      <c r="E17" s="161">
        <f t="shared" si="1"/>
        <v>0</v>
      </c>
      <c r="F17" s="161">
        <f t="shared" si="1"/>
        <v>0</v>
      </c>
      <c r="G17" s="161">
        <f t="shared" si="1"/>
        <v>0</v>
      </c>
      <c r="H17" s="161">
        <f t="shared" si="1"/>
        <v>0</v>
      </c>
      <c r="I17" s="161">
        <f t="shared" si="1"/>
        <v>8100000</v>
      </c>
      <c r="J17" s="161">
        <f t="shared" si="1"/>
        <v>6000000</v>
      </c>
      <c r="K17" s="161">
        <f t="shared" si="1"/>
        <v>2300000</v>
      </c>
      <c r="L17" s="161">
        <f t="shared" si="1"/>
        <v>0</v>
      </c>
      <c r="M17" s="161">
        <f t="shared" si="1"/>
        <v>0</v>
      </c>
      <c r="N17" s="161">
        <f t="shared" si="1"/>
        <v>0</v>
      </c>
      <c r="O17" s="161">
        <f t="shared" si="1"/>
        <v>27400000</v>
      </c>
    </row>
    <row r="18" spans="1:15" ht="15">
      <c r="A18" s="152"/>
      <c r="B18" s="152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</row>
    <row r="20" ht="15">
      <c r="B20" s="150" t="s">
        <v>687</v>
      </c>
    </row>
    <row r="21" ht="15">
      <c r="B21" s="150" t="s">
        <v>688</v>
      </c>
    </row>
  </sheetData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C28"/>
  <sheetViews>
    <sheetView showGridLines="0" workbookViewId="0" topLeftCell="A13">
      <selection activeCell="B31" sqref="B31"/>
    </sheetView>
  </sheetViews>
  <sheetFormatPr defaultColWidth="11.28125" defaultRowHeight="15"/>
  <cols>
    <col min="1" max="1" width="51.140625" style="150" customWidth="1"/>
    <col min="2" max="2" width="12.421875" style="150" bestFit="1" customWidth="1"/>
    <col min="3" max="243" width="11.28125" style="150" customWidth="1"/>
    <col min="244" max="244" width="3.28125" style="150" customWidth="1"/>
    <col min="245" max="245" width="33.140625" style="150" customWidth="1"/>
    <col min="246" max="499" width="11.28125" style="150" customWidth="1"/>
    <col min="500" max="500" width="3.28125" style="150" customWidth="1"/>
    <col min="501" max="501" width="33.140625" style="150" customWidth="1"/>
    <col min="502" max="755" width="11.28125" style="150" customWidth="1"/>
    <col min="756" max="756" width="3.28125" style="150" customWidth="1"/>
    <col min="757" max="757" width="33.140625" style="150" customWidth="1"/>
    <col min="758" max="1011" width="11.28125" style="150" customWidth="1"/>
    <col min="1012" max="1012" width="3.28125" style="150" customWidth="1"/>
    <col min="1013" max="1013" width="33.140625" style="150" customWidth="1"/>
    <col min="1014" max="1267" width="11.28125" style="150" customWidth="1"/>
    <col min="1268" max="1268" width="3.28125" style="150" customWidth="1"/>
    <col min="1269" max="1269" width="33.140625" style="150" customWidth="1"/>
    <col min="1270" max="1523" width="11.28125" style="150" customWidth="1"/>
    <col min="1524" max="1524" width="3.28125" style="150" customWidth="1"/>
    <col min="1525" max="1525" width="33.140625" style="150" customWidth="1"/>
    <col min="1526" max="1779" width="11.28125" style="150" customWidth="1"/>
    <col min="1780" max="1780" width="3.28125" style="150" customWidth="1"/>
    <col min="1781" max="1781" width="33.140625" style="150" customWidth="1"/>
    <col min="1782" max="2035" width="11.28125" style="150" customWidth="1"/>
    <col min="2036" max="2036" width="3.28125" style="150" customWidth="1"/>
    <col min="2037" max="2037" width="33.140625" style="150" customWidth="1"/>
    <col min="2038" max="2291" width="11.28125" style="150" customWidth="1"/>
    <col min="2292" max="2292" width="3.28125" style="150" customWidth="1"/>
    <col min="2293" max="2293" width="33.140625" style="150" customWidth="1"/>
    <col min="2294" max="2547" width="11.28125" style="150" customWidth="1"/>
    <col min="2548" max="2548" width="3.28125" style="150" customWidth="1"/>
    <col min="2549" max="2549" width="33.140625" style="150" customWidth="1"/>
    <col min="2550" max="2803" width="11.28125" style="150" customWidth="1"/>
    <col min="2804" max="2804" width="3.28125" style="150" customWidth="1"/>
    <col min="2805" max="2805" width="33.140625" style="150" customWidth="1"/>
    <col min="2806" max="3059" width="11.28125" style="150" customWidth="1"/>
    <col min="3060" max="3060" width="3.28125" style="150" customWidth="1"/>
    <col min="3061" max="3061" width="33.140625" style="150" customWidth="1"/>
    <col min="3062" max="3315" width="11.28125" style="150" customWidth="1"/>
    <col min="3316" max="3316" width="3.28125" style="150" customWidth="1"/>
    <col min="3317" max="3317" width="33.140625" style="150" customWidth="1"/>
    <col min="3318" max="3571" width="11.28125" style="150" customWidth="1"/>
    <col min="3572" max="3572" width="3.28125" style="150" customWidth="1"/>
    <col min="3573" max="3573" width="33.140625" style="150" customWidth="1"/>
    <col min="3574" max="3827" width="11.28125" style="150" customWidth="1"/>
    <col min="3828" max="3828" width="3.28125" style="150" customWidth="1"/>
    <col min="3829" max="3829" width="33.140625" style="150" customWidth="1"/>
    <col min="3830" max="4083" width="11.28125" style="150" customWidth="1"/>
    <col min="4084" max="4084" width="3.28125" style="150" customWidth="1"/>
    <col min="4085" max="4085" width="33.140625" style="150" customWidth="1"/>
    <col min="4086" max="4339" width="11.28125" style="150" customWidth="1"/>
    <col min="4340" max="4340" width="3.28125" style="150" customWidth="1"/>
    <col min="4341" max="4341" width="33.140625" style="150" customWidth="1"/>
    <col min="4342" max="4595" width="11.28125" style="150" customWidth="1"/>
    <col min="4596" max="4596" width="3.28125" style="150" customWidth="1"/>
    <col min="4597" max="4597" width="33.140625" style="150" customWidth="1"/>
    <col min="4598" max="4851" width="11.28125" style="150" customWidth="1"/>
    <col min="4852" max="4852" width="3.28125" style="150" customWidth="1"/>
    <col min="4853" max="4853" width="33.140625" style="150" customWidth="1"/>
    <col min="4854" max="5107" width="11.28125" style="150" customWidth="1"/>
    <col min="5108" max="5108" width="3.28125" style="150" customWidth="1"/>
    <col min="5109" max="5109" width="33.140625" style="150" customWidth="1"/>
    <col min="5110" max="5363" width="11.28125" style="150" customWidth="1"/>
    <col min="5364" max="5364" width="3.28125" style="150" customWidth="1"/>
    <col min="5365" max="5365" width="33.140625" style="150" customWidth="1"/>
    <col min="5366" max="5619" width="11.28125" style="150" customWidth="1"/>
    <col min="5620" max="5620" width="3.28125" style="150" customWidth="1"/>
    <col min="5621" max="5621" width="33.140625" style="150" customWidth="1"/>
    <col min="5622" max="5875" width="11.28125" style="150" customWidth="1"/>
    <col min="5876" max="5876" width="3.28125" style="150" customWidth="1"/>
    <col min="5877" max="5877" width="33.140625" style="150" customWidth="1"/>
    <col min="5878" max="6131" width="11.28125" style="150" customWidth="1"/>
    <col min="6132" max="6132" width="3.28125" style="150" customWidth="1"/>
    <col min="6133" max="6133" width="33.140625" style="150" customWidth="1"/>
    <col min="6134" max="6387" width="11.28125" style="150" customWidth="1"/>
    <col min="6388" max="6388" width="3.28125" style="150" customWidth="1"/>
    <col min="6389" max="6389" width="33.140625" style="150" customWidth="1"/>
    <col min="6390" max="6643" width="11.28125" style="150" customWidth="1"/>
    <col min="6644" max="6644" width="3.28125" style="150" customWidth="1"/>
    <col min="6645" max="6645" width="33.140625" style="150" customWidth="1"/>
    <col min="6646" max="6899" width="11.28125" style="150" customWidth="1"/>
    <col min="6900" max="6900" width="3.28125" style="150" customWidth="1"/>
    <col min="6901" max="6901" width="33.140625" style="150" customWidth="1"/>
    <col min="6902" max="7155" width="11.28125" style="150" customWidth="1"/>
    <col min="7156" max="7156" width="3.28125" style="150" customWidth="1"/>
    <col min="7157" max="7157" width="33.140625" style="150" customWidth="1"/>
    <col min="7158" max="7411" width="11.28125" style="150" customWidth="1"/>
    <col min="7412" max="7412" width="3.28125" style="150" customWidth="1"/>
    <col min="7413" max="7413" width="33.140625" style="150" customWidth="1"/>
    <col min="7414" max="7667" width="11.28125" style="150" customWidth="1"/>
    <col min="7668" max="7668" width="3.28125" style="150" customWidth="1"/>
    <col min="7669" max="7669" width="33.140625" style="150" customWidth="1"/>
    <col min="7670" max="7923" width="11.28125" style="150" customWidth="1"/>
    <col min="7924" max="7924" width="3.28125" style="150" customWidth="1"/>
    <col min="7925" max="7925" width="33.140625" style="150" customWidth="1"/>
    <col min="7926" max="8179" width="11.28125" style="150" customWidth="1"/>
    <col min="8180" max="8180" width="3.28125" style="150" customWidth="1"/>
    <col min="8181" max="8181" width="33.140625" style="150" customWidth="1"/>
    <col min="8182" max="8435" width="11.28125" style="150" customWidth="1"/>
    <col min="8436" max="8436" width="3.28125" style="150" customWidth="1"/>
    <col min="8437" max="8437" width="33.140625" style="150" customWidth="1"/>
    <col min="8438" max="8691" width="11.28125" style="150" customWidth="1"/>
    <col min="8692" max="8692" width="3.28125" style="150" customWidth="1"/>
    <col min="8693" max="8693" width="33.140625" style="150" customWidth="1"/>
    <col min="8694" max="8947" width="11.28125" style="150" customWidth="1"/>
    <col min="8948" max="8948" width="3.28125" style="150" customWidth="1"/>
    <col min="8949" max="8949" width="33.140625" style="150" customWidth="1"/>
    <col min="8950" max="9203" width="11.28125" style="150" customWidth="1"/>
    <col min="9204" max="9204" width="3.28125" style="150" customWidth="1"/>
    <col min="9205" max="9205" width="33.140625" style="150" customWidth="1"/>
    <col min="9206" max="9459" width="11.28125" style="150" customWidth="1"/>
    <col min="9460" max="9460" width="3.28125" style="150" customWidth="1"/>
    <col min="9461" max="9461" width="33.140625" style="150" customWidth="1"/>
    <col min="9462" max="9715" width="11.28125" style="150" customWidth="1"/>
    <col min="9716" max="9716" width="3.28125" style="150" customWidth="1"/>
    <col min="9717" max="9717" width="33.140625" style="150" customWidth="1"/>
    <col min="9718" max="9971" width="11.28125" style="150" customWidth="1"/>
    <col min="9972" max="9972" width="3.28125" style="150" customWidth="1"/>
    <col min="9973" max="9973" width="33.140625" style="150" customWidth="1"/>
    <col min="9974" max="10227" width="11.28125" style="150" customWidth="1"/>
    <col min="10228" max="10228" width="3.28125" style="150" customWidth="1"/>
    <col min="10229" max="10229" width="33.140625" style="150" customWidth="1"/>
    <col min="10230" max="10483" width="11.28125" style="150" customWidth="1"/>
    <col min="10484" max="10484" width="3.28125" style="150" customWidth="1"/>
    <col min="10485" max="10485" width="33.140625" style="150" customWidth="1"/>
    <col min="10486" max="10739" width="11.28125" style="150" customWidth="1"/>
    <col min="10740" max="10740" width="3.28125" style="150" customWidth="1"/>
    <col min="10741" max="10741" width="33.140625" style="150" customWidth="1"/>
    <col min="10742" max="10995" width="11.28125" style="150" customWidth="1"/>
    <col min="10996" max="10996" width="3.28125" style="150" customWidth="1"/>
    <col min="10997" max="10997" width="33.140625" style="150" customWidth="1"/>
    <col min="10998" max="11251" width="11.28125" style="150" customWidth="1"/>
    <col min="11252" max="11252" width="3.28125" style="150" customWidth="1"/>
    <col min="11253" max="11253" width="33.140625" style="150" customWidth="1"/>
    <col min="11254" max="11507" width="11.28125" style="150" customWidth="1"/>
    <col min="11508" max="11508" width="3.28125" style="150" customWidth="1"/>
    <col min="11509" max="11509" width="33.140625" style="150" customWidth="1"/>
    <col min="11510" max="11763" width="11.28125" style="150" customWidth="1"/>
    <col min="11764" max="11764" width="3.28125" style="150" customWidth="1"/>
    <col min="11765" max="11765" width="33.140625" style="150" customWidth="1"/>
    <col min="11766" max="12019" width="11.28125" style="150" customWidth="1"/>
    <col min="12020" max="12020" width="3.28125" style="150" customWidth="1"/>
    <col min="12021" max="12021" width="33.140625" style="150" customWidth="1"/>
    <col min="12022" max="12275" width="11.28125" style="150" customWidth="1"/>
    <col min="12276" max="12276" width="3.28125" style="150" customWidth="1"/>
    <col min="12277" max="12277" width="33.140625" style="150" customWidth="1"/>
    <col min="12278" max="12531" width="11.28125" style="150" customWidth="1"/>
    <col min="12532" max="12532" width="3.28125" style="150" customWidth="1"/>
    <col min="12533" max="12533" width="33.140625" style="150" customWidth="1"/>
    <col min="12534" max="12787" width="11.28125" style="150" customWidth="1"/>
    <col min="12788" max="12788" width="3.28125" style="150" customWidth="1"/>
    <col min="12789" max="12789" width="33.140625" style="150" customWidth="1"/>
    <col min="12790" max="13043" width="11.28125" style="150" customWidth="1"/>
    <col min="13044" max="13044" width="3.28125" style="150" customWidth="1"/>
    <col min="13045" max="13045" width="33.140625" style="150" customWidth="1"/>
    <col min="13046" max="13299" width="11.28125" style="150" customWidth="1"/>
    <col min="13300" max="13300" width="3.28125" style="150" customWidth="1"/>
    <col min="13301" max="13301" width="33.140625" style="150" customWidth="1"/>
    <col min="13302" max="13555" width="11.28125" style="150" customWidth="1"/>
    <col min="13556" max="13556" width="3.28125" style="150" customWidth="1"/>
    <col min="13557" max="13557" width="33.140625" style="150" customWidth="1"/>
    <col min="13558" max="13811" width="11.28125" style="150" customWidth="1"/>
    <col min="13812" max="13812" width="3.28125" style="150" customWidth="1"/>
    <col min="13813" max="13813" width="33.140625" style="150" customWidth="1"/>
    <col min="13814" max="14067" width="11.28125" style="150" customWidth="1"/>
    <col min="14068" max="14068" width="3.28125" style="150" customWidth="1"/>
    <col min="14069" max="14069" width="33.140625" style="150" customWidth="1"/>
    <col min="14070" max="14323" width="11.28125" style="150" customWidth="1"/>
    <col min="14324" max="14324" width="3.28125" style="150" customWidth="1"/>
    <col min="14325" max="14325" width="33.140625" style="150" customWidth="1"/>
    <col min="14326" max="14579" width="11.28125" style="150" customWidth="1"/>
    <col min="14580" max="14580" width="3.28125" style="150" customWidth="1"/>
    <col min="14581" max="14581" width="33.140625" style="150" customWidth="1"/>
    <col min="14582" max="14835" width="11.28125" style="150" customWidth="1"/>
    <col min="14836" max="14836" width="3.28125" style="150" customWidth="1"/>
    <col min="14837" max="14837" width="33.140625" style="150" customWidth="1"/>
    <col min="14838" max="15091" width="11.28125" style="150" customWidth="1"/>
    <col min="15092" max="15092" width="3.28125" style="150" customWidth="1"/>
    <col min="15093" max="15093" width="33.140625" style="150" customWidth="1"/>
    <col min="15094" max="15347" width="11.28125" style="150" customWidth="1"/>
    <col min="15348" max="15348" width="3.28125" style="150" customWidth="1"/>
    <col min="15349" max="15349" width="33.140625" style="150" customWidth="1"/>
    <col min="15350" max="15603" width="11.28125" style="150" customWidth="1"/>
    <col min="15604" max="15604" width="3.28125" style="150" customWidth="1"/>
    <col min="15605" max="15605" width="33.140625" style="150" customWidth="1"/>
    <col min="15606" max="15859" width="11.28125" style="150" customWidth="1"/>
    <col min="15860" max="15860" width="3.28125" style="150" customWidth="1"/>
    <col min="15861" max="15861" width="33.140625" style="150" customWidth="1"/>
    <col min="15862" max="16115" width="11.28125" style="150" customWidth="1"/>
    <col min="16116" max="16116" width="3.28125" style="150" customWidth="1"/>
    <col min="16117" max="16117" width="33.140625" style="150" customWidth="1"/>
    <col min="16118" max="16384" width="11.28125" style="150" customWidth="1"/>
  </cols>
  <sheetData>
    <row r="1" spans="1:2" ht="15">
      <c r="A1" s="149"/>
      <c r="B1" s="149"/>
    </row>
    <row r="3" spans="1:3" ht="15">
      <c r="A3" s="235" t="s">
        <v>390</v>
      </c>
      <c r="B3" s="374" t="s">
        <v>845</v>
      </c>
      <c r="C3" s="372"/>
    </row>
    <row r="4" spans="1:3" ht="15">
      <c r="A4" s="237" t="s">
        <v>392</v>
      </c>
      <c r="B4" s="238">
        <f>+SUM(B5:B14)</f>
        <v>27400000</v>
      </c>
      <c r="C4" s="372"/>
    </row>
    <row r="5" spans="1:3" ht="15">
      <c r="A5" s="239" t="s">
        <v>690</v>
      </c>
      <c r="B5" s="240">
        <v>2300000</v>
      </c>
      <c r="C5" s="372"/>
    </row>
    <row r="6" spans="1:3" ht="15">
      <c r="A6" s="239" t="s">
        <v>691</v>
      </c>
      <c r="B6" s="240">
        <v>4000000</v>
      </c>
      <c r="C6" s="372"/>
    </row>
    <row r="7" spans="1:3" ht="15">
      <c r="A7" s="239" t="s">
        <v>699</v>
      </c>
      <c r="B7" s="240">
        <v>2300000</v>
      </c>
      <c r="C7" s="372"/>
    </row>
    <row r="8" spans="1:3" ht="15">
      <c r="A8" s="239" t="s">
        <v>700</v>
      </c>
      <c r="B8" s="240">
        <v>2300000</v>
      </c>
      <c r="C8" s="372"/>
    </row>
    <row r="9" spans="1:3" ht="15">
      <c r="A9" s="239" t="s">
        <v>692</v>
      </c>
      <c r="B9" s="240">
        <v>3500000</v>
      </c>
      <c r="C9" s="372"/>
    </row>
    <row r="10" spans="1:3" ht="15">
      <c r="A10" s="239" t="s">
        <v>701</v>
      </c>
      <c r="B10" s="240">
        <v>6000000</v>
      </c>
      <c r="C10" s="372"/>
    </row>
    <row r="11" spans="1:3" s="158" customFormat="1" ht="15">
      <c r="A11" s="241" t="s">
        <v>591</v>
      </c>
      <c r="B11" s="240">
        <f>+INVERSIONES!O8</f>
        <v>1800000</v>
      </c>
      <c r="C11" s="373"/>
    </row>
    <row r="12" spans="1:3" ht="15">
      <c r="A12" s="242" t="s">
        <v>686</v>
      </c>
      <c r="B12" s="240">
        <f>+INVERSIONES!O9</f>
        <v>2300000</v>
      </c>
      <c r="C12" s="372"/>
    </row>
    <row r="13" spans="1:3" s="158" customFormat="1" ht="15">
      <c r="A13" s="241" t="s">
        <v>394</v>
      </c>
      <c r="B13" s="240">
        <f>+INVERSIONES!O12</f>
        <v>2000000</v>
      </c>
      <c r="C13" s="373"/>
    </row>
    <row r="14" spans="1:3" s="158" customFormat="1" ht="15">
      <c r="A14" s="241" t="s">
        <v>685</v>
      </c>
      <c r="B14" s="240">
        <f>+INVERSIONES!O10</f>
        <v>900000</v>
      </c>
      <c r="C14" s="373"/>
    </row>
    <row r="15" spans="1:3" ht="15">
      <c r="A15" s="237" t="s">
        <v>727</v>
      </c>
      <c r="B15" s="238">
        <f>+SUM(B16:B16)</f>
        <v>0</v>
      </c>
      <c r="C15" s="372"/>
    </row>
    <row r="16" spans="1:3" ht="15">
      <c r="A16" s="236" t="s">
        <v>740</v>
      </c>
      <c r="B16" s="240">
        <v>0</v>
      </c>
      <c r="C16" s="372"/>
    </row>
    <row r="17" spans="1:3" ht="15">
      <c r="A17" s="243"/>
      <c r="B17" s="244">
        <f>+B4+B15</f>
        <v>27400000</v>
      </c>
      <c r="C17" s="372"/>
    </row>
    <row r="18" spans="1:3" ht="8.25" customHeight="1">
      <c r="A18" s="236"/>
      <c r="B18" s="245"/>
      <c r="C18" s="372"/>
    </row>
    <row r="19" spans="1:3" ht="15">
      <c r="A19" s="246" t="s">
        <v>397</v>
      </c>
      <c r="B19" s="238"/>
      <c r="C19" s="372"/>
    </row>
    <row r="20" spans="1:3" ht="15">
      <c r="A20" s="237" t="s">
        <v>726</v>
      </c>
      <c r="B20" s="238">
        <f>+SUM(B21:B25)</f>
        <v>59000000</v>
      </c>
      <c r="C20" s="372"/>
    </row>
    <row r="21" spans="1:3" ht="15" hidden="1">
      <c r="A21" s="247" t="s">
        <v>705</v>
      </c>
      <c r="B21" s="240">
        <v>2000000</v>
      </c>
      <c r="C21" s="372"/>
    </row>
    <row r="22" spans="1:3" ht="15" hidden="1">
      <c r="A22" s="247" t="s">
        <v>741</v>
      </c>
      <c r="B22" s="240">
        <v>10000000</v>
      </c>
      <c r="C22" s="372"/>
    </row>
    <row r="23" spans="1:3" ht="15" hidden="1">
      <c r="A23" s="247" t="s">
        <v>729</v>
      </c>
      <c r="B23" s="240">
        <v>12000000</v>
      </c>
      <c r="C23" s="372"/>
    </row>
    <row r="24" spans="1:3" ht="15" hidden="1">
      <c r="A24" s="247" t="s">
        <v>689</v>
      </c>
      <c r="B24" s="240">
        <v>12000000</v>
      </c>
      <c r="C24" s="372"/>
    </row>
    <row r="25" spans="1:3" ht="15" hidden="1">
      <c r="A25" s="247" t="s">
        <v>725</v>
      </c>
      <c r="B25" s="240">
        <v>23000000</v>
      </c>
      <c r="C25" s="372"/>
    </row>
    <row r="26" spans="1:3" ht="15">
      <c r="A26" s="243"/>
      <c r="B26" s="244">
        <f>+B20</f>
        <v>59000000</v>
      </c>
      <c r="C26" s="372"/>
    </row>
    <row r="27" spans="1:3" ht="9.75" customHeight="1">
      <c r="A27" s="236"/>
      <c r="B27" s="245"/>
      <c r="C27" s="372"/>
    </row>
    <row r="28" spans="1:3" ht="15">
      <c r="A28" s="248" t="s">
        <v>728</v>
      </c>
      <c r="B28" s="249">
        <f>+B17+B26</f>
        <v>86400000</v>
      </c>
      <c r="C28" s="372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4:D35"/>
  <sheetViews>
    <sheetView workbookViewId="0" topLeftCell="A1">
      <selection activeCell="D17" sqref="D17"/>
    </sheetView>
  </sheetViews>
  <sheetFormatPr defaultColWidth="11.421875" defaultRowHeight="15"/>
  <cols>
    <col min="2" max="2" width="57.28125" style="0" bestFit="1" customWidth="1"/>
    <col min="3" max="3" width="3.00390625" style="0" customWidth="1"/>
    <col min="4" max="4" width="15.8515625" style="0" bestFit="1" customWidth="1"/>
  </cols>
  <sheetData>
    <row r="4" spans="2:4" ht="15">
      <c r="B4" s="336" t="s">
        <v>715</v>
      </c>
      <c r="C4" s="337"/>
      <c r="D4" s="338">
        <v>27360000</v>
      </c>
    </row>
    <row r="5" spans="2:4" ht="15">
      <c r="B5" s="336" t="s">
        <v>716</v>
      </c>
      <c r="C5" s="337"/>
      <c r="D5" s="338">
        <v>8000000</v>
      </c>
    </row>
    <row r="6" spans="2:4" ht="15">
      <c r="B6" s="336" t="s">
        <v>661</v>
      </c>
      <c r="C6" s="337"/>
      <c r="D6" s="338">
        <v>40000000</v>
      </c>
    </row>
    <row r="7" spans="2:4" ht="15">
      <c r="B7" s="336" t="s">
        <v>714</v>
      </c>
      <c r="C7" s="337"/>
      <c r="D7" s="338">
        <v>1200000</v>
      </c>
    </row>
    <row r="8" spans="2:4" ht="15">
      <c r="B8" s="339" t="s">
        <v>539</v>
      </c>
      <c r="C8" s="337"/>
      <c r="D8" s="338">
        <v>10000000</v>
      </c>
    </row>
    <row r="9" spans="2:4" ht="15">
      <c r="B9" s="339" t="s">
        <v>540</v>
      </c>
      <c r="C9" s="337"/>
      <c r="D9" s="338">
        <v>10000000</v>
      </c>
    </row>
    <row r="10" spans="2:4" ht="15">
      <c r="B10" s="339" t="s">
        <v>647</v>
      </c>
      <c r="C10" s="337"/>
      <c r="D10" s="338">
        <v>2500000</v>
      </c>
    </row>
    <row r="11" spans="2:4" ht="15">
      <c r="B11" s="340" t="s">
        <v>535</v>
      </c>
      <c r="C11" s="337"/>
      <c r="D11" s="338">
        <v>6300000</v>
      </c>
    </row>
    <row r="12" spans="2:4" ht="15">
      <c r="B12" s="341" t="s">
        <v>717</v>
      </c>
      <c r="C12" s="337"/>
      <c r="D12" s="338">
        <v>778000</v>
      </c>
    </row>
    <row r="13" spans="2:4" ht="15">
      <c r="B13" s="341" t="s">
        <v>718</v>
      </c>
      <c r="C13" s="337"/>
      <c r="D13" s="338">
        <v>6168000</v>
      </c>
    </row>
    <row r="14" spans="2:4" ht="15">
      <c r="B14" s="341" t="s">
        <v>719</v>
      </c>
      <c r="C14" s="337"/>
      <c r="D14" s="338">
        <v>64000</v>
      </c>
    </row>
    <row r="15" spans="2:4" ht="15">
      <c r="B15" s="340" t="s">
        <v>720</v>
      </c>
      <c r="C15" s="337"/>
      <c r="D15" s="338">
        <v>6554000</v>
      </c>
    </row>
    <row r="16" spans="2:4" ht="15">
      <c r="B16" s="340" t="s">
        <v>721</v>
      </c>
      <c r="C16" s="337"/>
      <c r="D16" s="338">
        <v>350000</v>
      </c>
    </row>
    <row r="17" spans="2:4" ht="15">
      <c r="B17" s="340" t="s">
        <v>722</v>
      </c>
      <c r="C17" s="337"/>
      <c r="D17" s="338">
        <v>2120000</v>
      </c>
    </row>
    <row r="18" spans="2:4" ht="15">
      <c r="B18" s="340" t="s">
        <v>723</v>
      </c>
      <c r="C18" s="337"/>
      <c r="D18" s="338">
        <v>1972000</v>
      </c>
    </row>
    <row r="19" spans="2:4" ht="15">
      <c r="B19" s="342" t="s">
        <v>646</v>
      </c>
      <c r="C19" s="337"/>
      <c r="D19" s="338">
        <v>12600000</v>
      </c>
    </row>
    <row r="20" spans="2:4" ht="15">
      <c r="B20" s="343" t="s">
        <v>710</v>
      </c>
      <c r="C20" s="337"/>
      <c r="D20" s="338">
        <v>10000000</v>
      </c>
    </row>
    <row r="21" spans="2:4" ht="15">
      <c r="B21" s="339" t="s">
        <v>711</v>
      </c>
      <c r="C21" s="337"/>
      <c r="D21" s="338">
        <v>9000000</v>
      </c>
    </row>
    <row r="22" spans="2:4" ht="15">
      <c r="B22" s="339" t="s">
        <v>712</v>
      </c>
      <c r="C22" s="337"/>
      <c r="D22" s="338">
        <v>25000000</v>
      </c>
    </row>
    <row r="23" spans="2:4" ht="15">
      <c r="B23" s="339" t="s">
        <v>713</v>
      </c>
      <c r="C23" s="337"/>
      <c r="D23" s="338">
        <v>4918000</v>
      </c>
    </row>
    <row r="24" spans="2:4" ht="15">
      <c r="B24" s="141"/>
      <c r="C24" s="141"/>
      <c r="D24" s="344">
        <f>SUM(D4:D23)</f>
        <v>184884000</v>
      </c>
    </row>
    <row r="29" ht="15">
      <c r="D29" s="4">
        <f>SUM(D4:D24)</f>
        <v>369768000</v>
      </c>
    </row>
    <row r="31" spans="2:4" ht="15">
      <c r="B31" t="s">
        <v>708</v>
      </c>
      <c r="D31" s="51">
        <v>2027273802</v>
      </c>
    </row>
    <row r="32" spans="2:4" ht="15">
      <c r="B32" t="s">
        <v>709</v>
      </c>
      <c r="D32" s="51">
        <f>+D31*7%</f>
        <v>141909166.14000002</v>
      </c>
    </row>
    <row r="33" ht="15">
      <c r="D33" s="51">
        <f>+D31+D32</f>
        <v>2169182968.14</v>
      </c>
    </row>
    <row r="35" ht="15">
      <c r="D35" s="177">
        <f>+D29+D32</f>
        <v>511677166.14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3:F5"/>
  <sheetViews>
    <sheetView workbookViewId="0" topLeftCell="A1">
      <selection activeCell="E4" sqref="E4"/>
    </sheetView>
  </sheetViews>
  <sheetFormatPr defaultColWidth="11.421875" defaultRowHeight="15"/>
  <cols>
    <col min="3" max="3" width="14.57421875" style="0" bestFit="1" customWidth="1"/>
    <col min="4" max="4" width="13.00390625" style="0" bestFit="1" customWidth="1"/>
    <col min="5" max="5" width="14.57421875" style="0" bestFit="1" customWidth="1"/>
  </cols>
  <sheetData>
    <row r="3" spans="4:5" ht="15">
      <c r="D3" s="335" t="s">
        <v>734</v>
      </c>
      <c r="E3" s="335" t="s">
        <v>735</v>
      </c>
    </row>
    <row r="4" spans="2:6" ht="15">
      <c r="B4" t="s">
        <v>733</v>
      </c>
      <c r="C4" s="1">
        <v>4000000</v>
      </c>
      <c r="D4" s="345">
        <f>+C4*9%</f>
        <v>360000</v>
      </c>
      <c r="E4" s="345">
        <f>+D4*12</f>
        <v>4320000</v>
      </c>
      <c r="F4" t="s">
        <v>736</v>
      </c>
    </row>
    <row r="5" spans="4:6" ht="15">
      <c r="D5" s="1">
        <v>440000</v>
      </c>
      <c r="E5" s="1">
        <f>+D5*12</f>
        <v>5280000</v>
      </c>
      <c r="F5" t="s">
        <v>737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T16"/>
  <sheetViews>
    <sheetView workbookViewId="0" topLeftCell="A1">
      <selection activeCell="F21" sqref="F21"/>
    </sheetView>
  </sheetViews>
  <sheetFormatPr defaultColWidth="11.421875" defaultRowHeight="15"/>
  <cols>
    <col min="1" max="1" width="4.7109375" style="0" customWidth="1"/>
    <col min="2" max="2" width="17.57421875" style="0" customWidth="1"/>
    <col min="3" max="3" width="10.421875" style="0" bestFit="1" customWidth="1"/>
    <col min="4" max="4" width="6.140625" style="0" bestFit="1" customWidth="1"/>
    <col min="5" max="6" width="10.421875" style="0" bestFit="1" customWidth="1"/>
    <col min="7" max="7" width="6.140625" style="0" bestFit="1" customWidth="1"/>
    <col min="8" max="9" width="10.421875" style="0" bestFit="1" customWidth="1"/>
    <col min="10" max="10" width="6.140625" style="0" bestFit="1" customWidth="1"/>
    <col min="11" max="12" width="10.421875" style="0" bestFit="1" customWidth="1"/>
    <col min="13" max="13" width="7.140625" style="0" bestFit="1" customWidth="1"/>
    <col min="14" max="14" width="10.421875" style="0" bestFit="1" customWidth="1"/>
    <col min="15" max="15" width="10.421875" style="0" hidden="1" customWidth="1"/>
    <col min="16" max="16" width="6.00390625" style="0" hidden="1" customWidth="1"/>
    <col min="17" max="17" width="10.421875" style="0" hidden="1" customWidth="1"/>
    <col min="18" max="18" width="10.421875" style="0" bestFit="1" customWidth="1"/>
    <col min="19" max="19" width="6.140625" style="0" bestFit="1" customWidth="1"/>
    <col min="20" max="20" width="10.421875" style="0" bestFit="1" customWidth="1"/>
  </cols>
  <sheetData>
    <row r="2" spans="2:17" ht="18.5">
      <c r="B2" s="378" t="s">
        <v>757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</row>
    <row r="4" spans="3:20" ht="15">
      <c r="C4" s="379" t="s">
        <v>752</v>
      </c>
      <c r="D4" s="379"/>
      <c r="E4" s="379"/>
      <c r="F4" s="379" t="s">
        <v>753</v>
      </c>
      <c r="G4" s="379"/>
      <c r="H4" s="379"/>
      <c r="I4" s="380" t="s">
        <v>754</v>
      </c>
      <c r="J4" s="381"/>
      <c r="K4" s="382"/>
      <c r="L4" s="379" t="s">
        <v>756</v>
      </c>
      <c r="M4" s="379"/>
      <c r="N4" s="379"/>
      <c r="O4" s="379" t="s">
        <v>758</v>
      </c>
      <c r="P4" s="379"/>
      <c r="Q4" s="379"/>
      <c r="R4" s="379" t="s">
        <v>759</v>
      </c>
      <c r="S4" s="379"/>
      <c r="T4" s="379"/>
    </row>
    <row r="5" spans="3:20" ht="15">
      <c r="C5" s="352">
        <v>2016</v>
      </c>
      <c r="D5" s="352" t="s">
        <v>472</v>
      </c>
      <c r="E5" s="352">
        <v>2017</v>
      </c>
      <c r="F5" s="352">
        <v>2016</v>
      </c>
      <c r="G5" s="352" t="s">
        <v>472</v>
      </c>
      <c r="H5" s="352">
        <v>2017</v>
      </c>
      <c r="I5" s="352">
        <v>2016</v>
      </c>
      <c r="J5" s="352" t="s">
        <v>472</v>
      </c>
      <c r="K5" s="352">
        <v>2017</v>
      </c>
      <c r="L5" s="352">
        <v>2016</v>
      </c>
      <c r="M5" s="352" t="s">
        <v>472</v>
      </c>
      <c r="N5" s="352">
        <v>2017</v>
      </c>
      <c r="O5" s="352">
        <v>2016</v>
      </c>
      <c r="P5" s="352" t="s">
        <v>472</v>
      </c>
      <c r="Q5" s="352">
        <v>2017</v>
      </c>
      <c r="R5" s="352">
        <v>2016</v>
      </c>
      <c r="S5" s="352" t="s">
        <v>472</v>
      </c>
      <c r="T5" s="352">
        <v>2017</v>
      </c>
    </row>
    <row r="6" spans="2:20" ht="15">
      <c r="B6" s="350" t="s">
        <v>745</v>
      </c>
      <c r="C6" s="346">
        <v>100000</v>
      </c>
      <c r="D6" s="347">
        <v>-0.15</v>
      </c>
      <c r="E6" s="348">
        <f>(+C6*D6)+C6</f>
        <v>85000</v>
      </c>
      <c r="F6" s="346">
        <v>100000</v>
      </c>
      <c r="G6" s="357">
        <v>0</v>
      </c>
      <c r="H6" s="348">
        <f>(+F6*G6)+F6</f>
        <v>100000</v>
      </c>
      <c r="I6" s="346">
        <v>100000</v>
      </c>
      <c r="J6" s="357">
        <v>0.03</v>
      </c>
      <c r="K6" s="348">
        <f>(+I6*J6)+I6</f>
        <v>103000</v>
      </c>
      <c r="L6" s="346">
        <v>100000</v>
      </c>
      <c r="M6" s="357">
        <v>0.11</v>
      </c>
      <c r="N6" s="348">
        <f>(+L6*M6)+L6</f>
        <v>111000</v>
      </c>
      <c r="O6" s="346">
        <v>100000</v>
      </c>
      <c r="P6" s="350"/>
      <c r="Q6" s="350"/>
      <c r="R6" s="346">
        <v>100000</v>
      </c>
      <c r="S6" s="357">
        <v>-0.13</v>
      </c>
      <c r="T6" s="348">
        <f>(+R6*S6)+R6</f>
        <v>87000</v>
      </c>
    </row>
    <row r="7" spans="2:20" ht="15">
      <c r="B7" s="350" t="s">
        <v>746</v>
      </c>
      <c r="C7" s="346">
        <v>600000</v>
      </c>
      <c r="D7" s="349">
        <v>0.08</v>
      </c>
      <c r="E7" s="348">
        <f aca="true" t="shared" si="0" ref="E7:E12">(+C7*D7)+C7</f>
        <v>648000</v>
      </c>
      <c r="F7" s="346">
        <v>600000</v>
      </c>
      <c r="G7" s="357">
        <v>0.07</v>
      </c>
      <c r="H7" s="348">
        <f aca="true" t="shared" si="1" ref="H7:H12">(+F7*G7)+F7</f>
        <v>642000</v>
      </c>
      <c r="I7" s="346">
        <v>600000</v>
      </c>
      <c r="J7" s="357">
        <v>0.07</v>
      </c>
      <c r="K7" s="348">
        <f aca="true" t="shared" si="2" ref="K7:K12">(+I7*J7)+I7</f>
        <v>642000</v>
      </c>
      <c r="L7" s="346">
        <v>600000</v>
      </c>
      <c r="M7" s="357">
        <v>0.11</v>
      </c>
      <c r="N7" s="348">
        <f aca="true" t="shared" si="3" ref="N7:N12">(+L7*M7)+L7</f>
        <v>666000</v>
      </c>
      <c r="O7" s="346">
        <v>600000</v>
      </c>
      <c r="P7" s="350"/>
      <c r="Q7" s="350"/>
      <c r="R7" s="346">
        <v>600000</v>
      </c>
      <c r="S7" s="357">
        <v>0.11</v>
      </c>
      <c r="T7" s="348">
        <f aca="true" t="shared" si="4" ref="T7:T12">(+R7*S7)+R7</f>
        <v>666000</v>
      </c>
    </row>
    <row r="8" spans="2:20" ht="15">
      <c r="B8" s="350" t="s">
        <v>747</v>
      </c>
      <c r="C8" s="346">
        <v>20000</v>
      </c>
      <c r="D8" s="349">
        <v>0.075</v>
      </c>
      <c r="E8" s="348">
        <f t="shared" si="0"/>
        <v>21500</v>
      </c>
      <c r="F8" s="346">
        <v>20000</v>
      </c>
      <c r="G8" s="357">
        <v>0.07</v>
      </c>
      <c r="H8" s="348">
        <f t="shared" si="1"/>
        <v>21400</v>
      </c>
      <c r="I8" s="346">
        <v>20000</v>
      </c>
      <c r="J8" s="357">
        <v>0.07</v>
      </c>
      <c r="K8" s="348">
        <f t="shared" si="2"/>
        <v>21400</v>
      </c>
      <c r="L8" s="346">
        <v>20000</v>
      </c>
      <c r="M8" s="357">
        <v>0.11</v>
      </c>
      <c r="N8" s="348">
        <f t="shared" si="3"/>
        <v>22200</v>
      </c>
      <c r="O8" s="346">
        <v>20000</v>
      </c>
      <c r="P8" s="350"/>
      <c r="Q8" s="350"/>
      <c r="R8" s="346">
        <v>20000</v>
      </c>
      <c r="S8" s="357">
        <v>0.11</v>
      </c>
      <c r="T8" s="348">
        <f t="shared" si="4"/>
        <v>22200</v>
      </c>
    </row>
    <row r="9" spans="2:20" ht="15">
      <c r="B9" s="350" t="s">
        <v>748</v>
      </c>
      <c r="C9" s="346">
        <v>20000</v>
      </c>
      <c r="D9" s="349">
        <v>0.075</v>
      </c>
      <c r="E9" s="348">
        <f t="shared" si="0"/>
        <v>21500</v>
      </c>
      <c r="F9" s="346">
        <v>20000</v>
      </c>
      <c r="G9" s="357">
        <v>0.07</v>
      </c>
      <c r="H9" s="348">
        <f t="shared" si="1"/>
        <v>21400</v>
      </c>
      <c r="I9" s="346">
        <v>20000</v>
      </c>
      <c r="J9" s="357">
        <v>0.07</v>
      </c>
      <c r="K9" s="348">
        <f t="shared" si="2"/>
        <v>21400</v>
      </c>
      <c r="L9" s="346">
        <v>20000</v>
      </c>
      <c r="M9" s="357">
        <v>0.11</v>
      </c>
      <c r="N9" s="348">
        <f t="shared" si="3"/>
        <v>22200</v>
      </c>
      <c r="O9" s="346">
        <v>20000</v>
      </c>
      <c r="P9" s="350"/>
      <c r="Q9" s="350"/>
      <c r="R9" s="346">
        <v>20000</v>
      </c>
      <c r="S9" s="357">
        <v>0.11</v>
      </c>
      <c r="T9" s="348">
        <f t="shared" si="4"/>
        <v>22200</v>
      </c>
    </row>
    <row r="10" spans="2:20" ht="15">
      <c r="B10" s="350" t="s">
        <v>749</v>
      </c>
      <c r="C10" s="346">
        <v>30000</v>
      </c>
      <c r="D10" s="349">
        <v>0.075</v>
      </c>
      <c r="E10" s="348">
        <f t="shared" si="0"/>
        <v>32250</v>
      </c>
      <c r="F10" s="346">
        <v>30000</v>
      </c>
      <c r="G10" s="357">
        <v>0.07</v>
      </c>
      <c r="H10" s="348">
        <f t="shared" si="1"/>
        <v>32100</v>
      </c>
      <c r="I10" s="346">
        <v>30000</v>
      </c>
      <c r="J10" s="357">
        <v>0.07</v>
      </c>
      <c r="K10" s="348">
        <f t="shared" si="2"/>
        <v>32100</v>
      </c>
      <c r="L10" s="346">
        <v>30000</v>
      </c>
      <c r="M10" s="357">
        <v>0.11</v>
      </c>
      <c r="N10" s="348">
        <f t="shared" si="3"/>
        <v>33300</v>
      </c>
      <c r="O10" s="346">
        <v>30000</v>
      </c>
      <c r="P10" s="350"/>
      <c r="Q10" s="350"/>
      <c r="R10" s="346">
        <v>30000</v>
      </c>
      <c r="S10" s="357">
        <v>0.11</v>
      </c>
      <c r="T10" s="348">
        <f t="shared" si="4"/>
        <v>33300</v>
      </c>
    </row>
    <row r="11" spans="2:20" ht="15">
      <c r="B11" s="350" t="s">
        <v>750</v>
      </c>
      <c r="C11" s="346">
        <v>20000</v>
      </c>
      <c r="D11" s="349">
        <v>0.066</v>
      </c>
      <c r="E11" s="348">
        <f t="shared" si="0"/>
        <v>21320</v>
      </c>
      <c r="F11" s="346">
        <v>20000</v>
      </c>
      <c r="G11" s="357">
        <v>0.07</v>
      </c>
      <c r="H11" s="348">
        <f t="shared" si="1"/>
        <v>21400</v>
      </c>
      <c r="I11" s="346">
        <v>20000</v>
      </c>
      <c r="J11" s="357">
        <v>0.07</v>
      </c>
      <c r="K11" s="348">
        <f t="shared" si="2"/>
        <v>21400</v>
      </c>
      <c r="L11" s="346">
        <v>20000</v>
      </c>
      <c r="M11" s="357">
        <v>0.11</v>
      </c>
      <c r="N11" s="348">
        <f t="shared" si="3"/>
        <v>22200</v>
      </c>
      <c r="O11" s="346">
        <v>20000</v>
      </c>
      <c r="P11" s="350"/>
      <c r="Q11" s="350"/>
      <c r="R11" s="346">
        <v>20000</v>
      </c>
      <c r="S11" s="357">
        <v>0.11</v>
      </c>
      <c r="T11" s="348">
        <f t="shared" si="4"/>
        <v>22200</v>
      </c>
    </row>
    <row r="12" spans="2:20" ht="15">
      <c r="B12" s="350" t="s">
        <v>751</v>
      </c>
      <c r="C12" s="346">
        <v>40000</v>
      </c>
      <c r="D12" s="349">
        <v>0.08</v>
      </c>
      <c r="E12" s="348">
        <f t="shared" si="0"/>
        <v>43200</v>
      </c>
      <c r="F12" s="346">
        <v>40000</v>
      </c>
      <c r="G12" s="357">
        <v>0.07</v>
      </c>
      <c r="H12" s="348">
        <f t="shared" si="1"/>
        <v>42800</v>
      </c>
      <c r="I12" s="346">
        <v>40000</v>
      </c>
      <c r="J12" s="357">
        <v>0.07</v>
      </c>
      <c r="K12" s="348">
        <f t="shared" si="2"/>
        <v>42800</v>
      </c>
      <c r="L12" s="346">
        <v>40000</v>
      </c>
      <c r="M12" s="357">
        <v>0.11</v>
      </c>
      <c r="N12" s="348">
        <f t="shared" si="3"/>
        <v>44400</v>
      </c>
      <c r="O12" s="346">
        <v>40000</v>
      </c>
      <c r="P12" s="350"/>
      <c r="Q12" s="350"/>
      <c r="R12" s="346">
        <v>40000</v>
      </c>
      <c r="S12" s="357">
        <v>0.11</v>
      </c>
      <c r="T12" s="348">
        <f t="shared" si="4"/>
        <v>44400</v>
      </c>
    </row>
    <row r="13" spans="2:20" ht="15">
      <c r="B13" s="353" t="s">
        <v>4</v>
      </c>
      <c r="C13" s="354">
        <f>SUM(C6:C12)</f>
        <v>830000</v>
      </c>
      <c r="D13" s="355">
        <f>+(E13-C13)/C13</f>
        <v>0.05153012048192771</v>
      </c>
      <c r="E13" s="356">
        <f>SUM(E6:E12)</f>
        <v>872770</v>
      </c>
      <c r="F13" s="354">
        <f>SUM(F6:F12)</f>
        <v>830000</v>
      </c>
      <c r="G13" s="355">
        <f>+(H13-F13)/F13</f>
        <v>0.06156626506024097</v>
      </c>
      <c r="H13" s="354">
        <f>SUM(H6:H12)</f>
        <v>881100</v>
      </c>
      <c r="I13" s="354">
        <f>SUM(I6:I12)</f>
        <v>830000</v>
      </c>
      <c r="J13" s="355">
        <f>+(K13-I13)/I13</f>
        <v>0.06518072289156626</v>
      </c>
      <c r="K13" s="354">
        <f>SUM(K6:K12)</f>
        <v>884100</v>
      </c>
      <c r="L13" s="354">
        <f>SUM(L6:L12)</f>
        <v>830000</v>
      </c>
      <c r="M13" s="355">
        <f>+(N13-L13)/L13</f>
        <v>0.11</v>
      </c>
      <c r="N13" s="354">
        <f>SUM(N6:N12)</f>
        <v>921300</v>
      </c>
      <c r="O13" s="354">
        <f>SUM(O6:O12)</f>
        <v>830000</v>
      </c>
      <c r="P13" s="355"/>
      <c r="Q13" s="354">
        <f>SUM(Q6:Q12)</f>
        <v>0</v>
      </c>
      <c r="R13" s="354">
        <f>SUM(R6:R12)</f>
        <v>830000</v>
      </c>
      <c r="S13" s="355">
        <f>+(T13-R13)/R13</f>
        <v>0.08108433734939759</v>
      </c>
      <c r="T13" s="354">
        <f>SUM(T6:T12)</f>
        <v>897300</v>
      </c>
    </row>
    <row r="15" spans="2:18" ht="15">
      <c r="B15" s="360" t="s">
        <v>755</v>
      </c>
      <c r="C15" s="358">
        <v>0.06</v>
      </c>
      <c r="F15" s="359">
        <v>0.056</v>
      </c>
      <c r="I15" s="358">
        <v>0.07</v>
      </c>
      <c r="L15" s="358">
        <v>0.07</v>
      </c>
      <c r="O15" s="351"/>
      <c r="R15" s="358">
        <v>0.07</v>
      </c>
    </row>
    <row r="16" spans="2:18" ht="15">
      <c r="B16" s="360" t="s">
        <v>760</v>
      </c>
      <c r="C16" s="358">
        <v>0.07</v>
      </c>
      <c r="F16" s="358">
        <v>0.07</v>
      </c>
      <c r="I16" s="358">
        <v>0.07</v>
      </c>
      <c r="L16" s="358">
        <v>0.07</v>
      </c>
      <c r="O16" s="359">
        <v>0.065</v>
      </c>
      <c r="R16" s="358">
        <v>0.07</v>
      </c>
    </row>
  </sheetData>
  <mergeCells count="7">
    <mergeCell ref="B2:Q2"/>
    <mergeCell ref="R4:T4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orientation="portrait" paperSize="9"/>
  <ignoredErrors>
    <ignoredError sqref="C13 F13 I13 L13 O13 Q13:R13" formulaRange="1"/>
    <ignoredError sqref="G13 D13 J13 S13" formula="1"/>
    <ignoredError sqref="M1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R318"/>
  <sheetViews>
    <sheetView zoomScale="110" zoomScaleNormal="110" workbookViewId="0" topLeftCell="A1">
      <pane xSplit="2" ySplit="8" topLeftCell="E27" activePane="bottomRight" state="frozen"/>
      <selection pane="topRight" activeCell="D1" sqref="D1"/>
      <selection pane="bottomLeft" activeCell="A11" sqref="A11"/>
      <selection pane="bottomRight" activeCell="F14" sqref="F14"/>
    </sheetView>
  </sheetViews>
  <sheetFormatPr defaultColWidth="11.421875" defaultRowHeight="15"/>
  <cols>
    <col min="1" max="1" width="30.8515625" style="5" customWidth="1"/>
    <col min="2" max="2" width="15.140625" style="15" customWidth="1"/>
    <col min="3" max="10" width="10.7109375" style="5" customWidth="1"/>
    <col min="11" max="11" width="12.140625" style="5" customWidth="1"/>
    <col min="12" max="12" width="10.7109375" style="5" customWidth="1"/>
    <col min="13" max="13" width="12.421875" style="5" customWidth="1"/>
    <col min="14" max="14" width="10.7109375" style="5" customWidth="1"/>
    <col min="15" max="15" width="11.57421875" style="5" bestFit="1" customWidth="1"/>
    <col min="16" max="16" width="13.140625" style="5" bestFit="1" customWidth="1"/>
    <col min="17" max="17" width="10.7109375" style="5" bestFit="1" customWidth="1"/>
    <col min="18" max="16384" width="11.421875" style="5" customWidth="1"/>
  </cols>
  <sheetData>
    <row r="1" spans="1:15" ht="15">
      <c r="A1" s="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5">
      <c r="A2" s="6" t="s">
        <v>656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>
      <c r="A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1" thickBot="1">
      <c r="A4" s="6" t="s">
        <v>655</v>
      </c>
      <c r="B4" s="214">
        <v>0.1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6" ht="15" thickBot="1">
      <c r="A5" s="27"/>
      <c r="B5" s="71" t="s">
        <v>602</v>
      </c>
      <c r="C5" s="71" t="s">
        <v>170</v>
      </c>
      <c r="D5" s="71" t="s">
        <v>171</v>
      </c>
      <c r="E5" s="71" t="s">
        <v>172</v>
      </c>
      <c r="F5" s="71" t="s">
        <v>173</v>
      </c>
      <c r="G5" s="71" t="s">
        <v>174</v>
      </c>
      <c r="H5" s="71" t="s">
        <v>175</v>
      </c>
      <c r="I5" s="71" t="s">
        <v>176</v>
      </c>
      <c r="J5" s="71" t="s">
        <v>177</v>
      </c>
      <c r="K5" s="71" t="s">
        <v>178</v>
      </c>
      <c r="L5" s="71" t="s">
        <v>179</v>
      </c>
      <c r="M5" s="71" t="s">
        <v>180</v>
      </c>
      <c r="N5" s="71" t="s">
        <v>181</v>
      </c>
      <c r="O5" s="71" t="s">
        <v>603</v>
      </c>
      <c r="P5" s="226" t="s">
        <v>604</v>
      </c>
    </row>
    <row r="6" spans="1:15" ht="9" customHeight="1" thickBot="1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20"/>
    </row>
    <row r="7" spans="1:17" s="6" customFormat="1" ht="15">
      <c r="A7" s="169" t="s">
        <v>142</v>
      </c>
      <c r="B7" s="282">
        <f aca="true" t="shared" si="0" ref="B7:O7">+B8+B27</f>
        <v>367038234.4820737</v>
      </c>
      <c r="C7" s="170">
        <f t="shared" si="0"/>
        <v>17266376.400000002</v>
      </c>
      <c r="D7" s="170">
        <f t="shared" si="0"/>
        <v>30036472.700000003</v>
      </c>
      <c r="E7" s="170">
        <f t="shared" si="0"/>
        <v>91693629.9</v>
      </c>
      <c r="F7" s="170">
        <f t="shared" si="0"/>
        <v>21043530</v>
      </c>
      <c r="G7" s="170">
        <f t="shared" si="0"/>
        <v>29190993.6</v>
      </c>
      <c r="H7" s="170">
        <f t="shared" si="0"/>
        <v>26383920.8</v>
      </c>
      <c r="I7" s="170">
        <f t="shared" si="0"/>
        <v>30544100.8</v>
      </c>
      <c r="J7" s="170">
        <f t="shared" si="0"/>
        <v>64596933</v>
      </c>
      <c r="K7" s="170">
        <f t="shared" si="0"/>
        <v>42737516.1</v>
      </c>
      <c r="L7" s="170">
        <f t="shared" si="0"/>
        <v>30458315.200000003</v>
      </c>
      <c r="M7" s="170">
        <f t="shared" si="0"/>
        <v>7299777.14961431</v>
      </c>
      <c r="N7" s="170">
        <f t="shared" si="0"/>
        <v>5366405.680666782</v>
      </c>
      <c r="O7" s="282">
        <f t="shared" si="0"/>
        <v>396617971.33028114</v>
      </c>
      <c r="P7" s="221">
        <f aca="true" t="shared" si="1" ref="P7:P12">+(O7-B7)/B7</f>
        <v>0.0805903420114999</v>
      </c>
      <c r="Q7" s="14"/>
    </row>
    <row r="8" spans="1:16" s="6" customFormat="1" ht="15">
      <c r="A8" s="18" t="s">
        <v>143</v>
      </c>
      <c r="B8" s="278">
        <f>+B9+B10+B11+B17</f>
        <v>168474213</v>
      </c>
      <c r="C8" s="10">
        <f>+C9+C10+C11+C17</f>
        <v>4182792.8</v>
      </c>
      <c r="D8" s="10">
        <f aca="true" t="shared" si="2" ref="D8:O8">+D9+D10+D11+D17</f>
        <v>11407778.1</v>
      </c>
      <c r="E8" s="10">
        <f t="shared" si="2"/>
        <v>73376401.4</v>
      </c>
      <c r="F8" s="10">
        <f t="shared" si="2"/>
        <v>2762676.3</v>
      </c>
      <c r="G8" s="10">
        <f t="shared" si="2"/>
        <v>15442475.4</v>
      </c>
      <c r="H8" s="10">
        <f t="shared" si="2"/>
        <v>7224000.8</v>
      </c>
      <c r="I8" s="10">
        <f t="shared" si="2"/>
        <v>12076662.3</v>
      </c>
      <c r="J8" s="10">
        <f t="shared" si="2"/>
        <v>41317273.5</v>
      </c>
      <c r="K8" s="10">
        <f t="shared" si="2"/>
        <v>14670154.9</v>
      </c>
      <c r="L8" s="10">
        <f t="shared" si="2"/>
        <v>19899223.5</v>
      </c>
      <c r="M8" s="10">
        <f t="shared" si="2"/>
        <v>1354407.9</v>
      </c>
      <c r="N8" s="10">
        <f t="shared" si="2"/>
        <v>1354407.9</v>
      </c>
      <c r="O8" s="278">
        <f t="shared" si="2"/>
        <v>205068254.8</v>
      </c>
      <c r="P8" s="222">
        <f t="shared" si="1"/>
        <v>0.2172085635443806</v>
      </c>
    </row>
    <row r="9" spans="1:16" s="6" customFormat="1" ht="15">
      <c r="A9" s="18" t="s">
        <v>144</v>
      </c>
      <c r="B9" s="278">
        <f>+O244</f>
        <v>66622500</v>
      </c>
      <c r="C9" s="11">
        <f>+$Q$244*C246</f>
        <v>3245550</v>
      </c>
      <c r="D9" s="11">
        <f aca="true" t="shared" si="3" ref="D9:N9">+$Q$244*D246</f>
        <v>3892350</v>
      </c>
      <c r="E9" s="11">
        <f t="shared" si="3"/>
        <v>65349900</v>
      </c>
      <c r="F9" s="11">
        <f t="shared" si="3"/>
        <v>115500.00000000001</v>
      </c>
      <c r="G9" s="11">
        <f t="shared" si="3"/>
        <v>242550</v>
      </c>
      <c r="H9" s="11">
        <f t="shared" si="3"/>
        <v>0</v>
      </c>
      <c r="I9" s="11">
        <f t="shared" si="3"/>
        <v>115500.00000000001</v>
      </c>
      <c r="J9" s="11">
        <f t="shared" si="3"/>
        <v>0</v>
      </c>
      <c r="K9" s="11">
        <f t="shared" si="3"/>
        <v>323400</v>
      </c>
      <c r="L9" s="11">
        <f t="shared" si="3"/>
        <v>0</v>
      </c>
      <c r="M9" s="11">
        <f t="shared" si="3"/>
        <v>0</v>
      </c>
      <c r="N9" s="11">
        <f t="shared" si="3"/>
        <v>0</v>
      </c>
      <c r="O9" s="278">
        <f>SUM(C9:N9)</f>
        <v>73284750</v>
      </c>
      <c r="P9" s="222">
        <f t="shared" si="1"/>
        <v>0.1</v>
      </c>
    </row>
    <row r="10" spans="1:16" s="6" customFormat="1" ht="15">
      <c r="A10" s="18" t="s">
        <v>145</v>
      </c>
      <c r="B10" s="278">
        <v>36078689</v>
      </c>
      <c r="C10" s="11">
        <v>0</v>
      </c>
      <c r="D10" s="11">
        <v>5000000</v>
      </c>
      <c r="E10" s="11">
        <v>5000000</v>
      </c>
      <c r="F10" s="11">
        <v>0</v>
      </c>
      <c r="G10" s="11">
        <v>0</v>
      </c>
      <c r="H10" s="11">
        <v>0</v>
      </c>
      <c r="I10" s="11">
        <v>5000000</v>
      </c>
      <c r="J10" s="32">
        <v>35000000</v>
      </c>
      <c r="K10" s="11">
        <v>0</v>
      </c>
      <c r="L10" s="11">
        <v>5000000</v>
      </c>
      <c r="M10" s="32">
        <v>0</v>
      </c>
      <c r="N10" s="33"/>
      <c r="O10" s="278">
        <f>SUM(C10:N10)</f>
        <v>55000000</v>
      </c>
      <c r="P10" s="222">
        <f t="shared" si="1"/>
        <v>0.5244456360373848</v>
      </c>
    </row>
    <row r="11" spans="1:16" s="6" customFormat="1" ht="15">
      <c r="A11" s="18" t="s">
        <v>146</v>
      </c>
      <c r="B11" s="278">
        <f>SUM(B12:B16)</f>
        <v>5310000</v>
      </c>
      <c r="C11" s="10">
        <f>SUM(C12:C16)</f>
        <v>626000</v>
      </c>
      <c r="D11" s="10">
        <f aca="true" t="shared" si="4" ref="D11:O11">SUM(D12:D16)</f>
        <v>626000</v>
      </c>
      <c r="E11" s="10">
        <f t="shared" si="4"/>
        <v>626000</v>
      </c>
      <c r="F11" s="10">
        <f t="shared" si="4"/>
        <v>626000</v>
      </c>
      <c r="G11" s="10">
        <f t="shared" si="4"/>
        <v>626000</v>
      </c>
      <c r="H11" s="10">
        <f t="shared" si="4"/>
        <v>626000</v>
      </c>
      <c r="I11" s="10">
        <f t="shared" si="4"/>
        <v>626000</v>
      </c>
      <c r="J11" s="10">
        <f t="shared" si="4"/>
        <v>626000</v>
      </c>
      <c r="K11" s="10">
        <f t="shared" si="4"/>
        <v>626000</v>
      </c>
      <c r="L11" s="10">
        <f t="shared" si="4"/>
        <v>626000</v>
      </c>
      <c r="M11" s="10">
        <f t="shared" si="4"/>
        <v>626000</v>
      </c>
      <c r="N11" s="10">
        <f t="shared" si="4"/>
        <v>626000</v>
      </c>
      <c r="O11" s="278">
        <f t="shared" si="4"/>
        <v>7512000</v>
      </c>
      <c r="P11" s="222">
        <f t="shared" si="1"/>
        <v>0.41468926553672314</v>
      </c>
    </row>
    <row r="12" spans="1:16" ht="15">
      <c r="A12" s="13" t="s">
        <v>147</v>
      </c>
      <c r="B12" s="279">
        <v>5300000</v>
      </c>
      <c r="C12" s="11">
        <v>625000</v>
      </c>
      <c r="D12" s="11">
        <v>625000</v>
      </c>
      <c r="E12" s="11">
        <v>625000</v>
      </c>
      <c r="F12" s="11">
        <v>625000</v>
      </c>
      <c r="G12" s="11">
        <v>625000</v>
      </c>
      <c r="H12" s="11">
        <v>625000</v>
      </c>
      <c r="I12" s="11">
        <v>625000</v>
      </c>
      <c r="J12" s="11">
        <v>625000</v>
      </c>
      <c r="K12" s="11">
        <v>625000</v>
      </c>
      <c r="L12" s="11">
        <v>625000</v>
      </c>
      <c r="M12" s="11">
        <v>625000</v>
      </c>
      <c r="N12" s="11">
        <v>625000</v>
      </c>
      <c r="O12" s="279">
        <f>SUM(C12:N12)</f>
        <v>7500000</v>
      </c>
      <c r="P12" s="227">
        <f t="shared" si="1"/>
        <v>0.41509433962264153</v>
      </c>
    </row>
    <row r="13" spans="1:16" ht="15">
      <c r="A13" s="13" t="s">
        <v>148</v>
      </c>
      <c r="B13" s="279">
        <v>0</v>
      </c>
      <c r="C13" s="11">
        <f aca="true" t="shared" si="5" ref="C13:N13">ROUND((($B$13*$B$52)+$B$13)/12,-3)</f>
        <v>0</v>
      </c>
      <c r="D13" s="11">
        <f t="shared" si="5"/>
        <v>0</v>
      </c>
      <c r="E13" s="11">
        <f t="shared" si="5"/>
        <v>0</v>
      </c>
      <c r="F13" s="11">
        <f t="shared" si="5"/>
        <v>0</v>
      </c>
      <c r="G13" s="11">
        <f t="shared" si="5"/>
        <v>0</v>
      </c>
      <c r="H13" s="11">
        <f t="shared" si="5"/>
        <v>0</v>
      </c>
      <c r="I13" s="11">
        <f t="shared" si="5"/>
        <v>0</v>
      </c>
      <c r="J13" s="11">
        <f t="shared" si="5"/>
        <v>0</v>
      </c>
      <c r="K13" s="11">
        <f t="shared" si="5"/>
        <v>0</v>
      </c>
      <c r="L13" s="11">
        <f t="shared" si="5"/>
        <v>0</v>
      </c>
      <c r="M13" s="11">
        <f t="shared" si="5"/>
        <v>0</v>
      </c>
      <c r="N13" s="11">
        <f t="shared" si="5"/>
        <v>0</v>
      </c>
      <c r="O13" s="279">
        <v>0</v>
      </c>
      <c r="P13" s="227">
        <v>0</v>
      </c>
    </row>
    <row r="14" spans="1:16" ht="15">
      <c r="A14" s="13" t="s">
        <v>149</v>
      </c>
      <c r="B14" s="279">
        <v>0</v>
      </c>
      <c r="C14" s="11">
        <f aca="true" t="shared" si="6" ref="C14:N14">ROUND((($B$14*$B$52)+$B$14)/12,-3)</f>
        <v>0</v>
      </c>
      <c r="D14" s="11">
        <f t="shared" si="6"/>
        <v>0</v>
      </c>
      <c r="E14" s="11">
        <f t="shared" si="6"/>
        <v>0</v>
      </c>
      <c r="F14" s="11">
        <f t="shared" si="6"/>
        <v>0</v>
      </c>
      <c r="G14" s="11">
        <f t="shared" si="6"/>
        <v>0</v>
      </c>
      <c r="H14" s="11">
        <f t="shared" si="6"/>
        <v>0</v>
      </c>
      <c r="I14" s="11">
        <f t="shared" si="6"/>
        <v>0</v>
      </c>
      <c r="J14" s="11">
        <f t="shared" si="6"/>
        <v>0</v>
      </c>
      <c r="K14" s="11">
        <f t="shared" si="6"/>
        <v>0</v>
      </c>
      <c r="L14" s="11">
        <f t="shared" si="6"/>
        <v>0</v>
      </c>
      <c r="M14" s="11">
        <f t="shared" si="6"/>
        <v>0</v>
      </c>
      <c r="N14" s="11">
        <f t="shared" si="6"/>
        <v>0</v>
      </c>
      <c r="O14" s="279">
        <v>0</v>
      </c>
      <c r="P14" s="227">
        <v>0</v>
      </c>
    </row>
    <row r="15" spans="1:16" ht="15">
      <c r="A15" s="13" t="s">
        <v>150</v>
      </c>
      <c r="B15" s="279">
        <v>0</v>
      </c>
      <c r="C15" s="8"/>
      <c r="D15" s="8"/>
      <c r="E15" s="8"/>
      <c r="F15" s="8"/>
      <c r="G15" s="8"/>
      <c r="H15" s="8"/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279">
        <f aca="true" t="shared" si="7" ref="O15:O23">SUM(C15:N15)</f>
        <v>0</v>
      </c>
      <c r="P15" s="227">
        <v>0</v>
      </c>
    </row>
    <row r="16" spans="1:16" ht="15">
      <c r="A16" s="13" t="s">
        <v>151</v>
      </c>
      <c r="B16" s="279">
        <v>10000</v>
      </c>
      <c r="C16" s="11">
        <f>ROUND((($B$16*$B$4)+$B$16)/12,-3)</f>
        <v>1000</v>
      </c>
      <c r="D16" s="11">
        <f aca="true" t="shared" si="8" ref="D16:N16">ROUND((($B$16*$B$52)+$B$16)/12,-3)</f>
        <v>1000</v>
      </c>
      <c r="E16" s="11">
        <f t="shared" si="8"/>
        <v>1000</v>
      </c>
      <c r="F16" s="11">
        <f t="shared" si="8"/>
        <v>1000</v>
      </c>
      <c r="G16" s="11">
        <f t="shared" si="8"/>
        <v>1000</v>
      </c>
      <c r="H16" s="11">
        <f t="shared" si="8"/>
        <v>1000</v>
      </c>
      <c r="I16" s="11">
        <f t="shared" si="8"/>
        <v>1000</v>
      </c>
      <c r="J16" s="11">
        <f t="shared" si="8"/>
        <v>1000</v>
      </c>
      <c r="K16" s="11">
        <f t="shared" si="8"/>
        <v>1000</v>
      </c>
      <c r="L16" s="11">
        <f t="shared" si="8"/>
        <v>1000</v>
      </c>
      <c r="M16" s="11">
        <f t="shared" si="8"/>
        <v>1000</v>
      </c>
      <c r="N16" s="11">
        <f t="shared" si="8"/>
        <v>1000</v>
      </c>
      <c r="O16" s="279">
        <f t="shared" si="7"/>
        <v>12000</v>
      </c>
      <c r="P16" s="227">
        <f aca="true" t="shared" si="9" ref="P16:P25">+(O16-B16)/B16</f>
        <v>0.2</v>
      </c>
    </row>
    <row r="17" spans="1:16" s="6" customFormat="1" ht="15">
      <c r="A17" s="18" t="s">
        <v>152</v>
      </c>
      <c r="B17" s="278">
        <f aca="true" t="shared" si="10" ref="B17:O17">SUM(B18:B25)</f>
        <v>60463024</v>
      </c>
      <c r="C17" s="10">
        <f t="shared" si="10"/>
        <v>311242.8</v>
      </c>
      <c r="D17" s="10">
        <f t="shared" si="10"/>
        <v>1889428.0999999999</v>
      </c>
      <c r="E17" s="10">
        <f t="shared" si="10"/>
        <v>2400501.4</v>
      </c>
      <c r="F17" s="10">
        <f t="shared" si="10"/>
        <v>2021176.3</v>
      </c>
      <c r="G17" s="10">
        <f t="shared" si="10"/>
        <v>14573925.4</v>
      </c>
      <c r="H17" s="10">
        <f t="shared" si="10"/>
        <v>6598000.8</v>
      </c>
      <c r="I17" s="10">
        <f t="shared" si="10"/>
        <v>6335162.3</v>
      </c>
      <c r="J17" s="10">
        <f t="shared" si="10"/>
        <v>5691273.5</v>
      </c>
      <c r="K17" s="10">
        <f t="shared" si="10"/>
        <v>13720754.9</v>
      </c>
      <c r="L17" s="10">
        <f t="shared" si="10"/>
        <v>14273223.5</v>
      </c>
      <c r="M17" s="10">
        <f t="shared" si="10"/>
        <v>728407.9</v>
      </c>
      <c r="N17" s="10">
        <f t="shared" si="10"/>
        <v>728407.9</v>
      </c>
      <c r="O17" s="278">
        <f t="shared" si="10"/>
        <v>69271504.8</v>
      </c>
      <c r="P17" s="222">
        <f t="shared" si="9"/>
        <v>0.1456837620295008</v>
      </c>
    </row>
    <row r="18" spans="1:16" ht="15">
      <c r="A18" s="13" t="s">
        <v>153</v>
      </c>
      <c r="B18" s="279">
        <f>+O248</f>
        <v>13421797</v>
      </c>
      <c r="C18" s="11">
        <f>+$Q$248*C250</f>
        <v>114349.4</v>
      </c>
      <c r="D18" s="11">
        <f aca="true" t="shared" si="11" ref="D18:N18">+$Q$248*D250</f>
        <v>428820.69999999995</v>
      </c>
      <c r="E18" s="11">
        <f t="shared" si="11"/>
        <v>671129.7999999999</v>
      </c>
      <c r="F18" s="11">
        <f t="shared" si="11"/>
        <v>324949.9</v>
      </c>
      <c r="G18" s="11">
        <f t="shared" si="11"/>
        <v>747630.4</v>
      </c>
      <c r="H18" s="11">
        <f>+$Q$248*H250-3800000</f>
        <v>217140.6000000001</v>
      </c>
      <c r="I18" s="8">
        <f>+$Q$248*I250+3800000</f>
        <v>4385777.5</v>
      </c>
      <c r="J18" s="8">
        <v>454863</v>
      </c>
      <c r="K18" s="8">
        <f t="shared" si="11"/>
        <v>6163461.699999999</v>
      </c>
      <c r="L18" s="11">
        <f t="shared" si="11"/>
        <v>1035853.5</v>
      </c>
      <c r="M18" s="11">
        <f t="shared" si="11"/>
        <v>109999.99999999999</v>
      </c>
      <c r="N18" s="11">
        <f t="shared" si="11"/>
        <v>109999.99999999999</v>
      </c>
      <c r="O18" s="279">
        <f t="shared" si="7"/>
        <v>14763976.5</v>
      </c>
      <c r="P18" s="227">
        <f t="shared" si="9"/>
        <v>0.09999998509886568</v>
      </c>
    </row>
    <row r="19" spans="1:16" ht="15">
      <c r="A19" s="13" t="s">
        <v>459</v>
      </c>
      <c r="B19" s="279">
        <f>+O273</f>
        <v>1846232</v>
      </c>
      <c r="C19" s="11">
        <f>+$Q$273*C275</f>
        <v>0</v>
      </c>
      <c r="D19" s="11">
        <f aca="true" t="shared" si="12" ref="D19:N19">+$Q$273*D275</f>
        <v>0</v>
      </c>
      <c r="E19" s="11">
        <f t="shared" si="12"/>
        <v>110501.59999999999</v>
      </c>
      <c r="F19" s="11">
        <f t="shared" si="12"/>
        <v>474084.6</v>
      </c>
      <c r="G19" s="11">
        <f t="shared" si="12"/>
        <v>0</v>
      </c>
      <c r="H19" s="11">
        <f t="shared" si="12"/>
        <v>1142930.8</v>
      </c>
      <c r="I19" s="11">
        <f t="shared" si="12"/>
        <v>0</v>
      </c>
      <c r="J19" s="11">
        <f t="shared" si="12"/>
        <v>195002.5</v>
      </c>
      <c r="K19" s="11">
        <f t="shared" si="12"/>
        <v>0</v>
      </c>
      <c r="L19" s="11">
        <f t="shared" si="12"/>
        <v>108335.7</v>
      </c>
      <c r="M19" s="11">
        <f t="shared" si="12"/>
        <v>0</v>
      </c>
      <c r="N19" s="11">
        <f t="shared" si="12"/>
        <v>0</v>
      </c>
      <c r="O19" s="279">
        <f t="shared" si="7"/>
        <v>2030855.2</v>
      </c>
      <c r="P19" s="227">
        <f t="shared" si="9"/>
        <v>0.09999999999999998</v>
      </c>
    </row>
    <row r="20" spans="1:18" ht="15">
      <c r="A20" s="13" t="s">
        <v>154</v>
      </c>
      <c r="B20" s="279">
        <f>+O253</f>
        <v>13918496</v>
      </c>
      <c r="C20" s="8">
        <f>+$Q$253*C255</f>
        <v>0</v>
      </c>
      <c r="D20" s="8">
        <f>+$Q$253*D255+1000000</f>
        <v>1069656.4</v>
      </c>
      <c r="E20" s="8">
        <f aca="true" t="shared" si="13" ref="E20:N20">+$Q$253*E255</f>
        <v>1044845.9999999999</v>
      </c>
      <c r="F20" s="8">
        <f t="shared" si="13"/>
        <v>905533.2</v>
      </c>
      <c r="G20" s="8">
        <f t="shared" si="13"/>
        <v>905533.2</v>
      </c>
      <c r="H20" s="8">
        <f t="shared" si="13"/>
        <v>1323471.6</v>
      </c>
      <c r="I20" s="8">
        <f t="shared" si="13"/>
        <v>1741409.9999999998</v>
      </c>
      <c r="J20" s="8">
        <f t="shared" si="13"/>
        <v>3552476.4</v>
      </c>
      <c r="K20" s="8">
        <f t="shared" si="13"/>
        <v>3552476.4</v>
      </c>
      <c r="L20" s="8">
        <f t="shared" si="13"/>
        <v>1114942.4</v>
      </c>
      <c r="M20" s="8">
        <f t="shared" si="13"/>
        <v>550000</v>
      </c>
      <c r="N20" s="8">
        <f t="shared" si="13"/>
        <v>550000</v>
      </c>
      <c r="O20" s="279">
        <f t="shared" si="7"/>
        <v>16310345.600000001</v>
      </c>
      <c r="P20" s="227">
        <f t="shared" si="9"/>
        <v>0.17184684322214136</v>
      </c>
      <c r="R20" s="26"/>
    </row>
    <row r="21" spans="1:18" ht="15">
      <c r="A21" s="13" t="s">
        <v>155</v>
      </c>
      <c r="B21" s="279">
        <f>+O257</f>
        <v>1766095</v>
      </c>
      <c r="C21" s="11">
        <f>+$Q$257*C259</f>
        <v>140958.4</v>
      </c>
      <c r="D21" s="11">
        <f aca="true" t="shared" si="14" ref="D21:N21">+$Q$257*D259</f>
        <v>144716</v>
      </c>
      <c r="E21" s="11">
        <f t="shared" si="14"/>
        <v>287859</v>
      </c>
      <c r="F21" s="11">
        <f t="shared" si="14"/>
        <v>170198.6</v>
      </c>
      <c r="G21" s="11">
        <f t="shared" si="14"/>
        <v>207006.8</v>
      </c>
      <c r="H21" s="11">
        <f t="shared" si="14"/>
        <v>155097.80000000002</v>
      </c>
      <c r="I21" s="11">
        <f t="shared" si="14"/>
        <v>57571.8</v>
      </c>
      <c r="J21" s="11">
        <f t="shared" si="14"/>
        <v>187501.6</v>
      </c>
      <c r="K21" s="11">
        <f t="shared" si="14"/>
        <v>207006.8</v>
      </c>
      <c r="L21" s="11">
        <f t="shared" si="14"/>
        <v>247971.9</v>
      </c>
      <c r="M21" s="11">
        <f t="shared" si="14"/>
        <v>68407.9</v>
      </c>
      <c r="N21" s="11">
        <f t="shared" si="14"/>
        <v>68407.9</v>
      </c>
      <c r="O21" s="279">
        <f t="shared" si="7"/>
        <v>1942704.5</v>
      </c>
      <c r="P21" s="227">
        <f t="shared" si="9"/>
        <v>0.1</v>
      </c>
      <c r="R21" s="26"/>
    </row>
    <row r="22" spans="1:18" ht="15">
      <c r="A22" s="13" t="s">
        <v>156</v>
      </c>
      <c r="B22" s="279">
        <v>32479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279">
        <f t="shared" si="7"/>
        <v>0</v>
      </c>
      <c r="P22" s="227">
        <f t="shared" si="9"/>
        <v>-1</v>
      </c>
      <c r="R22" s="26"/>
    </row>
    <row r="23" spans="1:18" ht="15">
      <c r="A23" s="13" t="s">
        <v>401</v>
      </c>
      <c r="B23" s="279">
        <f>+O261</f>
        <v>1802930</v>
      </c>
      <c r="C23" s="8">
        <f>+$Q$261*C263</f>
        <v>55935</v>
      </c>
      <c r="D23" s="8">
        <f aca="true" t="shared" si="15" ref="D23:N23">+$Q$261*D263</f>
        <v>246235</v>
      </c>
      <c r="E23" s="8">
        <f t="shared" si="15"/>
        <v>286165</v>
      </c>
      <c r="F23" s="8">
        <f t="shared" si="15"/>
        <v>146410</v>
      </c>
      <c r="G23" s="8">
        <f t="shared" si="15"/>
        <v>139755</v>
      </c>
      <c r="H23" s="8">
        <f t="shared" si="15"/>
        <v>212960</v>
      </c>
      <c r="I23" s="8">
        <f t="shared" si="15"/>
        <v>150403</v>
      </c>
      <c r="J23" s="8">
        <f t="shared" si="15"/>
        <v>173030</v>
      </c>
      <c r="K23" s="8">
        <f t="shared" si="15"/>
        <v>412610</v>
      </c>
      <c r="L23" s="8">
        <f t="shared" si="15"/>
        <v>159720</v>
      </c>
      <c r="M23" s="8">
        <f t="shared" si="15"/>
        <v>0</v>
      </c>
      <c r="N23" s="8">
        <f t="shared" si="15"/>
        <v>0</v>
      </c>
      <c r="O23" s="279">
        <f t="shared" si="7"/>
        <v>1983223</v>
      </c>
      <c r="P23" s="227">
        <f t="shared" si="9"/>
        <v>0.1</v>
      </c>
      <c r="R23" s="26"/>
    </row>
    <row r="24" spans="1:18" ht="15">
      <c r="A24" s="13" t="s">
        <v>402</v>
      </c>
      <c r="B24" s="279">
        <v>13643966</v>
      </c>
      <c r="C24" s="8"/>
      <c r="D24" s="8"/>
      <c r="E24" s="8">
        <v>0</v>
      </c>
      <c r="F24" s="8">
        <v>0</v>
      </c>
      <c r="G24" s="8">
        <v>12574000</v>
      </c>
      <c r="H24" s="8">
        <v>3546400</v>
      </c>
      <c r="I24" s="8"/>
      <c r="J24" s="8"/>
      <c r="K24" s="8"/>
      <c r="L24" s="8"/>
      <c r="M24" s="8"/>
      <c r="N24" s="8"/>
      <c r="O24" s="279">
        <f>SUM(C24:N24)</f>
        <v>16120400</v>
      </c>
      <c r="P24" s="227">
        <f t="shared" si="9"/>
        <v>0.1815039703265165</v>
      </c>
      <c r="R24" s="26"/>
    </row>
    <row r="25" spans="1:18" ht="15">
      <c r="A25" s="13" t="s">
        <v>403</v>
      </c>
      <c r="B25" s="279">
        <v>14031029</v>
      </c>
      <c r="C25" s="8">
        <v>0</v>
      </c>
      <c r="D25" s="8"/>
      <c r="E25" s="8"/>
      <c r="F25" s="8"/>
      <c r="G25" s="8"/>
      <c r="H25" s="8">
        <v>0</v>
      </c>
      <c r="I25" s="8">
        <v>0</v>
      </c>
      <c r="J25" s="8">
        <v>1128400</v>
      </c>
      <c r="K25" s="8">
        <v>3385200</v>
      </c>
      <c r="L25" s="8">
        <v>11606400</v>
      </c>
      <c r="M25" s="8">
        <v>0</v>
      </c>
      <c r="N25" s="8">
        <v>0</v>
      </c>
      <c r="O25" s="279">
        <f>SUM(C25:N25)</f>
        <v>16120000</v>
      </c>
      <c r="P25" s="227">
        <f t="shared" si="9"/>
        <v>0.1488822380739146</v>
      </c>
      <c r="R25" s="26"/>
    </row>
    <row r="26" spans="1:18" ht="15">
      <c r="A26" s="13"/>
      <c r="B26" s="27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279"/>
      <c r="P26" s="227"/>
      <c r="R26" s="26"/>
    </row>
    <row r="27" spans="1:18" s="6" customFormat="1" ht="15">
      <c r="A27" s="18" t="s">
        <v>157</v>
      </c>
      <c r="B27" s="278">
        <f>+B28+B31+B41+B46+B44</f>
        <v>198564021.48207372</v>
      </c>
      <c r="C27" s="10">
        <f>+C28+C31+C41+C46+C44</f>
        <v>13083583.600000001</v>
      </c>
      <c r="D27" s="10">
        <f aca="true" t="shared" si="16" ref="D27:O27">+D28+D31+D41+D46+D44</f>
        <v>18628694.6</v>
      </c>
      <c r="E27" s="10">
        <f t="shared" si="16"/>
        <v>18317228.5</v>
      </c>
      <c r="F27" s="10">
        <f t="shared" si="16"/>
        <v>18280853.7</v>
      </c>
      <c r="G27" s="10">
        <f t="shared" si="16"/>
        <v>13748518.2</v>
      </c>
      <c r="H27" s="10">
        <f t="shared" si="16"/>
        <v>19159920</v>
      </c>
      <c r="I27" s="10">
        <f t="shared" si="16"/>
        <v>18467438.5</v>
      </c>
      <c r="J27" s="10">
        <f t="shared" si="16"/>
        <v>23279659.5</v>
      </c>
      <c r="K27" s="10">
        <f t="shared" si="16"/>
        <v>28067361.200000003</v>
      </c>
      <c r="L27" s="10">
        <f t="shared" si="16"/>
        <v>10559091.700000001</v>
      </c>
      <c r="M27" s="10">
        <f t="shared" si="16"/>
        <v>5945369.24961431</v>
      </c>
      <c r="N27" s="10">
        <f t="shared" si="16"/>
        <v>4011997.780666782</v>
      </c>
      <c r="O27" s="278">
        <f t="shared" si="16"/>
        <v>191549716.5302811</v>
      </c>
      <c r="P27" s="222">
        <f>+(O27-B27)/B27</f>
        <v>-0.035325155581752136</v>
      </c>
      <c r="R27" s="26"/>
    </row>
    <row r="28" spans="1:18" s="6" customFormat="1" ht="15">
      <c r="A28" s="18" t="s">
        <v>92</v>
      </c>
      <c r="B28" s="278">
        <f>+B29</f>
        <v>664525</v>
      </c>
      <c r="C28" s="10">
        <f>+C29</f>
        <v>52170.8</v>
      </c>
      <c r="D28" s="10">
        <f aca="true" t="shared" si="17" ref="D28:O28">+D29</f>
        <v>50603.299999999996</v>
      </c>
      <c r="E28" s="10">
        <f t="shared" si="17"/>
        <v>58927</v>
      </c>
      <c r="F28" s="10">
        <f t="shared" si="17"/>
        <v>65963.7</v>
      </c>
      <c r="G28" s="10">
        <f t="shared" si="17"/>
        <v>53202.6</v>
      </c>
      <c r="H28" s="10">
        <f t="shared" si="17"/>
        <v>63523.899999999994</v>
      </c>
      <c r="I28" s="10">
        <f t="shared" si="17"/>
        <v>62280.9</v>
      </c>
      <c r="J28" s="10">
        <f t="shared" si="17"/>
        <v>95679.09999999999</v>
      </c>
      <c r="K28" s="10">
        <f t="shared" si="17"/>
        <v>95472.3</v>
      </c>
      <c r="L28" s="10">
        <f t="shared" si="17"/>
        <v>45153.9</v>
      </c>
      <c r="M28" s="10">
        <f t="shared" si="17"/>
        <v>44000</v>
      </c>
      <c r="N28" s="10">
        <f t="shared" si="17"/>
        <v>44000</v>
      </c>
      <c r="O28" s="278">
        <f t="shared" si="17"/>
        <v>730977.5</v>
      </c>
      <c r="P28" s="222">
        <f>+(O28-B28)/B28</f>
        <v>0.1</v>
      </c>
      <c r="R28" s="26"/>
    </row>
    <row r="29" spans="1:18" ht="15">
      <c r="A29" s="13" t="s">
        <v>158</v>
      </c>
      <c r="B29" s="279">
        <f>+O265</f>
        <v>664525</v>
      </c>
      <c r="C29" s="8">
        <f>+$Q$265*C267</f>
        <v>52170.8</v>
      </c>
      <c r="D29" s="8">
        <f aca="true" t="shared" si="18" ref="D29:N29">+$Q$265*D267</f>
        <v>50603.299999999996</v>
      </c>
      <c r="E29" s="8">
        <f t="shared" si="18"/>
        <v>58927</v>
      </c>
      <c r="F29" s="8">
        <f t="shared" si="18"/>
        <v>65963.7</v>
      </c>
      <c r="G29" s="8">
        <f t="shared" si="18"/>
        <v>53202.6</v>
      </c>
      <c r="H29" s="8">
        <f t="shared" si="18"/>
        <v>63523.899999999994</v>
      </c>
      <c r="I29" s="8">
        <f t="shared" si="18"/>
        <v>62280.9</v>
      </c>
      <c r="J29" s="8">
        <f t="shared" si="18"/>
        <v>95679.09999999999</v>
      </c>
      <c r="K29" s="8">
        <f t="shared" si="18"/>
        <v>95472.3</v>
      </c>
      <c r="L29" s="8">
        <f t="shared" si="18"/>
        <v>45153.9</v>
      </c>
      <c r="M29" s="8">
        <f t="shared" si="18"/>
        <v>44000</v>
      </c>
      <c r="N29" s="8">
        <f t="shared" si="18"/>
        <v>44000</v>
      </c>
      <c r="O29" s="279">
        <f aca="true" t="shared" si="19" ref="O29">SUM(C29:N29)</f>
        <v>730977.5</v>
      </c>
      <c r="P29" s="227">
        <f>+(O29-B29)/B29</f>
        <v>0.1</v>
      </c>
      <c r="R29" s="26"/>
    </row>
    <row r="30" spans="1:16" ht="15">
      <c r="A30" s="13"/>
      <c r="B30" s="27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79"/>
      <c r="P30" s="222"/>
    </row>
    <row r="31" spans="1:16" s="6" customFormat="1" ht="15">
      <c r="A31" s="18" t="s">
        <v>7</v>
      </c>
      <c r="B31" s="278">
        <f>+B32+B35+B36+B39</f>
        <v>175630806.40006357</v>
      </c>
      <c r="C31" s="10">
        <f>+C32+C35+C36+C39</f>
        <v>12543526.3</v>
      </c>
      <c r="D31" s="10">
        <f aca="true" t="shared" si="20" ref="D31:O31">+D32+D35+D36+D39</f>
        <v>17766841.1</v>
      </c>
      <c r="E31" s="10">
        <f t="shared" si="20"/>
        <v>16343543.4</v>
      </c>
      <c r="F31" s="10">
        <f t="shared" si="20"/>
        <v>15415795.2</v>
      </c>
      <c r="G31" s="10">
        <f t="shared" si="20"/>
        <v>12255739.9</v>
      </c>
      <c r="H31" s="10">
        <f t="shared" si="20"/>
        <v>14898854.2</v>
      </c>
      <c r="I31" s="10">
        <f t="shared" si="20"/>
        <v>17188994.1</v>
      </c>
      <c r="J31" s="10">
        <f t="shared" si="20"/>
        <v>15423198.200000001</v>
      </c>
      <c r="K31" s="10">
        <f t="shared" si="20"/>
        <v>26091932.6</v>
      </c>
      <c r="L31" s="10">
        <f t="shared" si="20"/>
        <v>9437644.8</v>
      </c>
      <c r="M31" s="10">
        <f t="shared" si="20"/>
        <v>4746058.256140197</v>
      </c>
      <c r="N31" s="10">
        <f t="shared" si="20"/>
        <v>3159197.283929725</v>
      </c>
      <c r="O31" s="278">
        <f t="shared" si="20"/>
        <v>165271325.34006992</v>
      </c>
      <c r="P31" s="222">
        <f aca="true" t="shared" si="21" ref="P31:P38">+(O31-B31)/B31</f>
        <v>-0.05898441892019864</v>
      </c>
    </row>
    <row r="32" spans="1:16" ht="15">
      <c r="A32" s="13" t="s">
        <v>159</v>
      </c>
      <c r="B32" s="278">
        <f>+SUM(B33:B34)</f>
        <v>92497708</v>
      </c>
      <c r="C32" s="8">
        <f>SUM(C33:C34)</f>
        <v>8040200</v>
      </c>
      <c r="D32" s="8">
        <f aca="true" t="shared" si="22" ref="D32:O32">SUM(D33:D34)</f>
        <v>8040200</v>
      </c>
      <c r="E32" s="8">
        <f t="shared" si="22"/>
        <v>8040200</v>
      </c>
      <c r="F32" s="8">
        <f t="shared" si="22"/>
        <v>8040200</v>
      </c>
      <c r="G32" s="8">
        <f t="shared" si="22"/>
        <v>8040200</v>
      </c>
      <c r="H32" s="8">
        <f t="shared" si="22"/>
        <v>8040200</v>
      </c>
      <c r="I32" s="8">
        <f t="shared" si="22"/>
        <v>8088000</v>
      </c>
      <c r="J32" s="8">
        <f t="shared" si="22"/>
        <v>8088000</v>
      </c>
      <c r="K32" s="8">
        <f t="shared" si="22"/>
        <v>8603000</v>
      </c>
      <c r="L32" s="8">
        <f t="shared" si="22"/>
        <v>727000</v>
      </c>
      <c r="M32" s="8">
        <f t="shared" si="22"/>
        <v>727000</v>
      </c>
      <c r="N32" s="8">
        <f t="shared" si="22"/>
        <v>727000</v>
      </c>
      <c r="O32" s="279">
        <f t="shared" si="22"/>
        <v>75201200</v>
      </c>
      <c r="P32" s="227">
        <f t="shared" si="21"/>
        <v>-0.18699390908150934</v>
      </c>
    </row>
    <row r="33" spans="1:16" ht="15">
      <c r="A33" s="13" t="s">
        <v>160</v>
      </c>
      <c r="B33" s="279">
        <v>84605704</v>
      </c>
      <c r="C33" s="8">
        <v>7361000</v>
      </c>
      <c r="D33" s="8">
        <v>7361000</v>
      </c>
      <c r="E33" s="8">
        <v>7361000</v>
      </c>
      <c r="F33" s="8">
        <v>7361000</v>
      </c>
      <c r="G33" s="8">
        <v>7361000</v>
      </c>
      <c r="H33" s="8">
        <v>7361000</v>
      </c>
      <c r="I33" s="8">
        <v>7361000</v>
      </c>
      <c r="J33" s="8">
        <v>7361000</v>
      </c>
      <c r="K33" s="8">
        <v>7876000</v>
      </c>
      <c r="L33" s="8">
        <v>0</v>
      </c>
      <c r="M33" s="8">
        <v>0</v>
      </c>
      <c r="N33" s="8">
        <v>0</v>
      </c>
      <c r="O33" s="279">
        <f aca="true" t="shared" si="23" ref="O33:O39">SUM(C33:N33)</f>
        <v>66764000</v>
      </c>
      <c r="P33" s="227">
        <f t="shared" si="21"/>
        <v>-0.21088062809571326</v>
      </c>
    </row>
    <row r="34" spans="1:16" ht="15">
      <c r="A34" s="13" t="s">
        <v>161</v>
      </c>
      <c r="B34" s="279">
        <v>7892004</v>
      </c>
      <c r="C34" s="8">
        <v>679200</v>
      </c>
      <c r="D34" s="8">
        <v>679200</v>
      </c>
      <c r="E34" s="8">
        <v>679200</v>
      </c>
      <c r="F34" s="8">
        <v>679200</v>
      </c>
      <c r="G34" s="8">
        <v>679200</v>
      </c>
      <c r="H34" s="8">
        <v>679200</v>
      </c>
      <c r="I34" s="8">
        <v>727000</v>
      </c>
      <c r="J34" s="8">
        <v>727000</v>
      </c>
      <c r="K34" s="8">
        <v>727000</v>
      </c>
      <c r="L34" s="8">
        <v>727000</v>
      </c>
      <c r="M34" s="8">
        <v>727000</v>
      </c>
      <c r="N34" s="8">
        <v>727000</v>
      </c>
      <c r="O34" s="279">
        <f t="shared" si="23"/>
        <v>8437200</v>
      </c>
      <c r="P34" s="227">
        <f t="shared" si="21"/>
        <v>0.06908207345054564</v>
      </c>
    </row>
    <row r="35" spans="1:16" ht="15">
      <c r="A35" s="13" t="s">
        <v>162</v>
      </c>
      <c r="B35" s="279">
        <f>+O269</f>
        <v>65862699.40006356</v>
      </c>
      <c r="C35" s="8">
        <f>+$Q$269*C271</f>
        <v>3834086.3</v>
      </c>
      <c r="D35" s="8">
        <f>+$Q$269*D271</f>
        <v>9057401.1</v>
      </c>
      <c r="E35" s="8">
        <f>+$Q$269*E271</f>
        <v>7634103.4</v>
      </c>
      <c r="F35" s="8">
        <f>+$Q$269*F271+1205000</f>
        <v>6706355.2</v>
      </c>
      <c r="G35" s="8">
        <f>+$Q$269*G271</f>
        <v>3546299.9</v>
      </c>
      <c r="H35" s="8">
        <f>+$Q$269*H271+31</f>
        <v>6189414.2</v>
      </c>
      <c r="I35" s="8">
        <f>+$Q$269*I271</f>
        <v>8431754.100000001</v>
      </c>
      <c r="J35" s="8">
        <f>+$Q$269*J271</f>
        <v>6665958.200000001</v>
      </c>
      <c r="K35" s="8">
        <f>+$Q$269*K271</f>
        <v>7926727.600000001</v>
      </c>
      <c r="L35" s="8">
        <f>+$Q$269*L271</f>
        <v>8710644.8</v>
      </c>
      <c r="M35" s="8">
        <f>+$Q$269*M271+1000000</f>
        <v>4019058.256140196</v>
      </c>
      <c r="N35" s="8">
        <f>+$Q$269*N271+500000</f>
        <v>2432197.283929725</v>
      </c>
      <c r="O35" s="279">
        <f t="shared" si="23"/>
        <v>75154000.34006992</v>
      </c>
      <c r="P35" s="227">
        <f t="shared" si="21"/>
        <v>0.14107075817784342</v>
      </c>
    </row>
    <row r="36" spans="1:16" ht="15">
      <c r="A36" s="13" t="s">
        <v>163</v>
      </c>
      <c r="B36" s="278">
        <f>+SUM(B37:B38)</f>
        <v>15424167</v>
      </c>
      <c r="C36" s="8">
        <f>SUM(C37:C38)</f>
        <v>669240</v>
      </c>
      <c r="D36" s="8">
        <f aca="true" t="shared" si="24" ref="D36:N36">SUM(D37:D38)</f>
        <v>669240</v>
      </c>
      <c r="E36" s="8">
        <f t="shared" si="24"/>
        <v>669240</v>
      </c>
      <c r="F36" s="8">
        <f t="shared" si="24"/>
        <v>669240</v>
      </c>
      <c r="G36" s="8">
        <f t="shared" si="24"/>
        <v>669240</v>
      </c>
      <c r="H36" s="8">
        <f t="shared" si="24"/>
        <v>669240</v>
      </c>
      <c r="I36" s="8">
        <f t="shared" si="24"/>
        <v>669240</v>
      </c>
      <c r="J36" s="8">
        <f t="shared" si="24"/>
        <v>669240</v>
      </c>
      <c r="K36" s="8">
        <f t="shared" si="24"/>
        <v>9562205</v>
      </c>
      <c r="L36" s="8">
        <f t="shared" si="24"/>
        <v>0</v>
      </c>
      <c r="M36" s="8">
        <f t="shared" si="24"/>
        <v>0</v>
      </c>
      <c r="N36" s="8">
        <f t="shared" si="24"/>
        <v>0</v>
      </c>
      <c r="O36" s="279">
        <f>SUM(O37:O38)</f>
        <v>14916125</v>
      </c>
      <c r="P36" s="227">
        <f t="shared" si="21"/>
        <v>-0.03293805104677614</v>
      </c>
    </row>
    <row r="37" spans="1:16" ht="15">
      <c r="A37" s="13" t="s">
        <v>164</v>
      </c>
      <c r="B37" s="279">
        <v>7691580</v>
      </c>
      <c r="C37" s="8">
        <v>669240</v>
      </c>
      <c r="D37" s="8">
        <v>669240</v>
      </c>
      <c r="E37" s="8">
        <v>669240</v>
      </c>
      <c r="F37" s="8">
        <v>669240</v>
      </c>
      <c r="G37" s="8">
        <v>669240</v>
      </c>
      <c r="H37" s="8">
        <v>669240</v>
      </c>
      <c r="I37" s="8">
        <v>669240</v>
      </c>
      <c r="J37" s="8">
        <v>669240</v>
      </c>
      <c r="K37" s="8">
        <v>716000</v>
      </c>
      <c r="L37" s="8">
        <v>0</v>
      </c>
      <c r="M37" s="8">
        <v>0</v>
      </c>
      <c r="N37" s="8">
        <v>0</v>
      </c>
      <c r="O37" s="279">
        <f t="shared" si="23"/>
        <v>6069920</v>
      </c>
      <c r="P37" s="227">
        <f t="shared" si="21"/>
        <v>-0.2108357450614828</v>
      </c>
    </row>
    <row r="38" spans="1:16" ht="15">
      <c r="A38" s="13" t="s">
        <v>307</v>
      </c>
      <c r="B38" s="279">
        <v>7732587</v>
      </c>
      <c r="C38" s="8"/>
      <c r="D38" s="8"/>
      <c r="E38" s="8"/>
      <c r="F38" s="8"/>
      <c r="G38" s="37">
        <v>0</v>
      </c>
      <c r="H38" s="8"/>
      <c r="I38" s="8"/>
      <c r="J38" s="8"/>
      <c r="K38" s="8">
        <f>ROUND($B$38*$B$4+$B$38,-3)+340205</f>
        <v>8846205</v>
      </c>
      <c r="L38" s="8"/>
      <c r="M38" s="8"/>
      <c r="N38" s="8"/>
      <c r="O38" s="279">
        <f t="shared" si="23"/>
        <v>8846205</v>
      </c>
      <c r="P38" s="227">
        <f t="shared" si="21"/>
        <v>0.14401622639357306</v>
      </c>
    </row>
    <row r="39" spans="1:16" ht="15">
      <c r="A39" s="13" t="s">
        <v>165</v>
      </c>
      <c r="B39" s="279">
        <f>+O273</f>
        <v>1846232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279">
        <f t="shared" si="23"/>
        <v>0</v>
      </c>
      <c r="P39" s="227">
        <v>0</v>
      </c>
    </row>
    <row r="40" spans="1:16" ht="15">
      <c r="A40" s="13"/>
      <c r="B40" s="27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79"/>
      <c r="P40" s="222">
        <v>0</v>
      </c>
    </row>
    <row r="41" spans="1:16" s="6" customFormat="1" ht="15">
      <c r="A41" s="18" t="s">
        <v>22</v>
      </c>
      <c r="B41" s="278">
        <f>+B42</f>
        <v>17071586.082010154</v>
      </c>
      <c r="C41" s="10">
        <f>+C42</f>
        <v>25602.5</v>
      </c>
      <c r="D41" s="10">
        <f aca="true" t="shared" si="25" ref="D41:O41">+D42</f>
        <v>348966.19999999995</v>
      </c>
      <c r="E41" s="10">
        <f t="shared" si="25"/>
        <v>1452474.0999999999</v>
      </c>
      <c r="F41" s="10">
        <f t="shared" si="25"/>
        <v>2336810.8</v>
      </c>
      <c r="G41" s="10">
        <f t="shared" si="25"/>
        <v>977291.7000000001</v>
      </c>
      <c r="H41" s="10">
        <f t="shared" si="25"/>
        <v>3735257.9</v>
      </c>
      <c r="I41" s="10">
        <f t="shared" si="25"/>
        <v>753879.5000000001</v>
      </c>
      <c r="J41" s="10">
        <f t="shared" si="25"/>
        <v>7298498.199999999</v>
      </c>
      <c r="K41" s="10">
        <f t="shared" si="25"/>
        <v>1417672.3</v>
      </c>
      <c r="L41" s="10">
        <f t="shared" si="25"/>
        <v>614009</v>
      </c>
      <c r="M41" s="10">
        <f t="shared" si="25"/>
        <v>693024.9934741139</v>
      </c>
      <c r="N41" s="10">
        <f t="shared" si="25"/>
        <v>346512.49673705694</v>
      </c>
      <c r="O41" s="278">
        <f t="shared" si="25"/>
        <v>19999999.69021117</v>
      </c>
      <c r="P41" s="222">
        <f>+(O41-B41)/B41</f>
        <v>0.17153728974760846</v>
      </c>
    </row>
    <row r="42" spans="1:16" ht="15">
      <c r="A42" s="13" t="s">
        <v>166</v>
      </c>
      <c r="B42" s="279">
        <f>+O277</f>
        <v>17071586.082010154</v>
      </c>
      <c r="C42" s="8">
        <f>+$Q$277*C279</f>
        <v>25602.5</v>
      </c>
      <c r="D42" s="8">
        <f>+$Q$277*D279</f>
        <v>348966.19999999995</v>
      </c>
      <c r="E42" s="8">
        <f>+$Q$277*E279</f>
        <v>1452474.0999999999</v>
      </c>
      <c r="F42" s="8">
        <f>+$Q$277*F279+500000</f>
        <v>2336810.8</v>
      </c>
      <c r="G42" s="8">
        <f>+$Q$277*G279</f>
        <v>977291.7000000001</v>
      </c>
      <c r="H42" s="8">
        <f>+$Q$277*H279</f>
        <v>3735257.9</v>
      </c>
      <c r="I42" s="8">
        <f>+$Q$277*I279</f>
        <v>753879.5000000001</v>
      </c>
      <c r="J42" s="8">
        <f>+$Q$277*J279+721255</f>
        <v>7298498.199999999</v>
      </c>
      <c r="K42" s="8">
        <f>+$Q$277*K279</f>
        <v>1417672.3</v>
      </c>
      <c r="L42" s="8">
        <f>+$Q$277*L279</f>
        <v>614009</v>
      </c>
      <c r="M42" s="8">
        <f>+$Q$277*M279</f>
        <v>693024.9934741139</v>
      </c>
      <c r="N42" s="8">
        <f>+$Q$277*N279</f>
        <v>346512.49673705694</v>
      </c>
      <c r="O42" s="279">
        <f aca="true" t="shared" si="26" ref="O42">SUM(C42:N42)</f>
        <v>19999999.69021117</v>
      </c>
      <c r="P42" s="227">
        <f>+(O42-B42)/B42</f>
        <v>0.17153728974760846</v>
      </c>
    </row>
    <row r="43" spans="1:16" ht="15">
      <c r="A43" s="13"/>
      <c r="B43" s="27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279"/>
      <c r="P43" s="222"/>
    </row>
    <row r="44" spans="1:16" ht="15">
      <c r="A44" s="18" t="s">
        <v>405</v>
      </c>
      <c r="B44" s="278">
        <v>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279"/>
      <c r="P44" s="222">
        <v>0</v>
      </c>
    </row>
    <row r="45" spans="1:16" ht="15">
      <c r="A45" s="13"/>
      <c r="B45" s="27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279"/>
      <c r="P45" s="222">
        <v>0</v>
      </c>
    </row>
    <row r="46" spans="1:16" s="6" customFormat="1" ht="15">
      <c r="A46" s="18" t="s">
        <v>75</v>
      </c>
      <c r="B46" s="278">
        <f>+B47+B48</f>
        <v>5197104</v>
      </c>
      <c r="C46" s="10">
        <f>+C47+C48</f>
        <v>462284</v>
      </c>
      <c r="D46" s="10">
        <f aca="true" t="shared" si="27" ref="D46:O46">+D47+D48</f>
        <v>462284</v>
      </c>
      <c r="E46" s="10">
        <f t="shared" si="27"/>
        <v>462284</v>
      </c>
      <c r="F46" s="10">
        <f t="shared" si="27"/>
        <v>462284</v>
      </c>
      <c r="G46" s="10">
        <f t="shared" si="27"/>
        <v>462284</v>
      </c>
      <c r="H46" s="10">
        <f t="shared" si="27"/>
        <v>462284</v>
      </c>
      <c r="I46" s="10">
        <f t="shared" si="27"/>
        <v>462284</v>
      </c>
      <c r="J46" s="10">
        <f t="shared" si="27"/>
        <v>462284</v>
      </c>
      <c r="K46" s="10">
        <f t="shared" si="27"/>
        <v>462284</v>
      </c>
      <c r="L46" s="10">
        <f t="shared" si="27"/>
        <v>462284</v>
      </c>
      <c r="M46" s="10">
        <f t="shared" si="27"/>
        <v>462286</v>
      </c>
      <c r="N46" s="10">
        <f t="shared" si="27"/>
        <v>462288</v>
      </c>
      <c r="O46" s="278">
        <f t="shared" si="27"/>
        <v>5547414</v>
      </c>
      <c r="P46" s="222">
        <f>+(O46-B46)/B46</f>
        <v>0.06740484700710242</v>
      </c>
    </row>
    <row r="47" spans="1:16" ht="15">
      <c r="A47" s="13" t="s">
        <v>167</v>
      </c>
      <c r="B47" s="279">
        <v>7000</v>
      </c>
      <c r="C47" s="8">
        <v>0</v>
      </c>
      <c r="D47" s="8">
        <v>0</v>
      </c>
      <c r="E47" s="8">
        <v>0</v>
      </c>
      <c r="F47" s="8">
        <v>0</v>
      </c>
      <c r="G47" s="8"/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279">
        <f>SUM(C47:N47)</f>
        <v>0</v>
      </c>
      <c r="P47" s="227">
        <f>+(O47-B47)/B47</f>
        <v>-1</v>
      </c>
    </row>
    <row r="48" spans="1:16" ht="15">
      <c r="A48" s="13" t="s">
        <v>168</v>
      </c>
      <c r="B48" s="278">
        <f aca="true" t="shared" si="28" ref="B48:O48">SUM(B49:B51)</f>
        <v>5190104</v>
      </c>
      <c r="C48" s="10">
        <f t="shared" si="28"/>
        <v>462284</v>
      </c>
      <c r="D48" s="10">
        <f t="shared" si="28"/>
        <v>462284</v>
      </c>
      <c r="E48" s="10">
        <f t="shared" si="28"/>
        <v>462284</v>
      </c>
      <c r="F48" s="10">
        <f t="shared" si="28"/>
        <v>462284</v>
      </c>
      <c r="G48" s="10">
        <f t="shared" si="28"/>
        <v>462284</v>
      </c>
      <c r="H48" s="10">
        <f t="shared" si="28"/>
        <v>462284</v>
      </c>
      <c r="I48" s="10">
        <f t="shared" si="28"/>
        <v>462284</v>
      </c>
      <c r="J48" s="10">
        <f t="shared" si="28"/>
        <v>462284</v>
      </c>
      <c r="K48" s="10">
        <f t="shared" si="28"/>
        <v>462284</v>
      </c>
      <c r="L48" s="10">
        <f t="shared" si="28"/>
        <v>462284</v>
      </c>
      <c r="M48" s="10">
        <f t="shared" si="28"/>
        <v>462286</v>
      </c>
      <c r="N48" s="10">
        <f t="shared" si="28"/>
        <v>462288</v>
      </c>
      <c r="O48" s="278">
        <f t="shared" si="28"/>
        <v>5547414</v>
      </c>
      <c r="P48" s="227">
        <f>+(O48-B48)/B48</f>
        <v>0.06884447787558785</v>
      </c>
    </row>
    <row r="49" spans="1:16" ht="15">
      <c r="A49" s="13" t="s">
        <v>404</v>
      </c>
      <c r="B49" s="279">
        <v>147000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279"/>
      <c r="P49" s="227">
        <f>+(O49-B49)/B49</f>
        <v>-1</v>
      </c>
    </row>
    <row r="50" spans="1:16" ht="11" thickBot="1">
      <c r="A50" s="22" t="s">
        <v>406</v>
      </c>
      <c r="B50" s="281">
        <f>+O281</f>
        <v>5043104</v>
      </c>
      <c r="C50" s="23">
        <v>462284</v>
      </c>
      <c r="D50" s="23">
        <v>462284</v>
      </c>
      <c r="E50" s="23">
        <v>462284</v>
      </c>
      <c r="F50" s="23">
        <v>462284</v>
      </c>
      <c r="G50" s="23">
        <v>462284</v>
      </c>
      <c r="H50" s="23">
        <v>462284</v>
      </c>
      <c r="I50" s="23">
        <v>462284</v>
      </c>
      <c r="J50" s="23">
        <v>462284</v>
      </c>
      <c r="K50" s="23">
        <v>462284</v>
      </c>
      <c r="L50" s="23">
        <v>462284</v>
      </c>
      <c r="M50" s="23">
        <v>462286</v>
      </c>
      <c r="N50" s="23">
        <v>462288</v>
      </c>
      <c r="O50" s="281">
        <f>SUM(C50:N50)</f>
        <v>5547414</v>
      </c>
      <c r="P50" s="228">
        <f>+(O50-B50)/B50</f>
        <v>0.09999992068376937</v>
      </c>
    </row>
    <row r="51" spans="1:16" ht="15">
      <c r="A51" s="223"/>
      <c r="B51" s="224">
        <v>0</v>
      </c>
      <c r="C51" s="224"/>
      <c r="D51" s="224">
        <f>(+$B$51/6)</f>
        <v>0</v>
      </c>
      <c r="E51" s="224"/>
      <c r="F51" s="224">
        <f>(+$B$51/6)</f>
        <v>0</v>
      </c>
      <c r="G51" s="224"/>
      <c r="H51" s="224">
        <f>(+$B$51/6)</f>
        <v>0</v>
      </c>
      <c r="I51" s="224"/>
      <c r="J51" s="224">
        <f>(+$B$51/6)</f>
        <v>0</v>
      </c>
      <c r="K51" s="224"/>
      <c r="L51" s="224">
        <f>(+$B$51/6)</f>
        <v>0</v>
      </c>
      <c r="M51" s="224"/>
      <c r="N51" s="224">
        <f>(+$B$51/6)</f>
        <v>0</v>
      </c>
      <c r="O51" s="224">
        <f>SUM(C51:N51)</f>
        <v>0</v>
      </c>
      <c r="P51" s="223"/>
    </row>
    <row r="52" spans="1:16" s="6" customFormat="1" ht="11" thickBot="1">
      <c r="A52" s="83" t="s">
        <v>474</v>
      </c>
      <c r="B52" s="225">
        <v>0.07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</row>
    <row r="53" spans="1:16" s="6" customFormat="1" ht="15" thickBot="1">
      <c r="A53" s="169"/>
      <c r="B53" s="71" t="s">
        <v>602</v>
      </c>
      <c r="C53" s="71" t="s">
        <v>170</v>
      </c>
      <c r="D53" s="71" t="s">
        <v>171</v>
      </c>
      <c r="E53" s="71" t="s">
        <v>172</v>
      </c>
      <c r="F53" s="71" t="s">
        <v>173</v>
      </c>
      <c r="G53" s="71" t="s">
        <v>174</v>
      </c>
      <c r="H53" s="71" t="s">
        <v>175</v>
      </c>
      <c r="I53" s="71" t="s">
        <v>176</v>
      </c>
      <c r="J53" s="71" t="s">
        <v>177</v>
      </c>
      <c r="K53" s="71" t="s">
        <v>178</v>
      </c>
      <c r="L53" s="71" t="s">
        <v>179</v>
      </c>
      <c r="M53" s="71" t="s">
        <v>180</v>
      </c>
      <c r="N53" s="71" t="s">
        <v>181</v>
      </c>
      <c r="O53" s="71" t="s">
        <v>603</v>
      </c>
      <c r="P53" s="226" t="s">
        <v>604</v>
      </c>
    </row>
    <row r="54" spans="1:16" s="6" customFormat="1" ht="15">
      <c r="A54" s="18" t="s">
        <v>117</v>
      </c>
      <c r="B54" s="284">
        <f aca="true" t="shared" si="29" ref="B54:O54">+B55+B229</f>
        <v>364613324.8</v>
      </c>
      <c r="C54" s="28">
        <f t="shared" si="29"/>
        <v>31382809.794054303</v>
      </c>
      <c r="D54" s="28">
        <f t="shared" si="29"/>
        <v>27990177.812061228</v>
      </c>
      <c r="E54" s="28">
        <f t="shared" si="29"/>
        <v>30596210.77255316</v>
      </c>
      <c r="F54" s="28">
        <f t="shared" si="29"/>
        <v>30485283.42359864</v>
      </c>
      <c r="G54" s="28">
        <f t="shared" si="29"/>
        <v>35201639.39247103</v>
      </c>
      <c r="H54" s="28">
        <f t="shared" si="29"/>
        <v>36062176.1113585</v>
      </c>
      <c r="I54" s="28">
        <f t="shared" si="29"/>
        <v>25873343.190435927</v>
      </c>
      <c r="J54" s="28">
        <f t="shared" si="29"/>
        <v>45328774.79892681</v>
      </c>
      <c r="K54" s="28">
        <f t="shared" si="29"/>
        <v>29631089.853737265</v>
      </c>
      <c r="L54" s="28">
        <f t="shared" si="29"/>
        <v>31266681.44291821</v>
      </c>
      <c r="M54" s="28">
        <f t="shared" si="29"/>
        <v>34628822.573791824</v>
      </c>
      <c r="N54" s="28">
        <f t="shared" si="29"/>
        <v>24366572.623395912</v>
      </c>
      <c r="O54" s="284">
        <f t="shared" si="29"/>
        <v>382813581.78930277</v>
      </c>
      <c r="P54" s="222">
        <f aca="true" t="shared" si="30" ref="P54:P56">+(O54-B54)/B54</f>
        <v>0.049916598630305335</v>
      </c>
    </row>
    <row r="55" spans="1:16" s="6" customFormat="1" ht="15">
      <c r="A55" s="18" t="s">
        <v>118</v>
      </c>
      <c r="B55" s="284">
        <f aca="true" t="shared" si="31" ref="B55:O55">+B56+B78+B83+B89+B94+B102+B111+B158+B160+B172+B184+B188+B191</f>
        <v>326395122.8</v>
      </c>
      <c r="C55" s="28">
        <f t="shared" si="31"/>
        <v>28212409.894054305</v>
      </c>
      <c r="D55" s="28">
        <f t="shared" si="31"/>
        <v>25574171.04206123</v>
      </c>
      <c r="E55" s="28">
        <f t="shared" si="31"/>
        <v>28250248.67255316</v>
      </c>
      <c r="F55" s="28">
        <f t="shared" si="31"/>
        <v>28128520.003598638</v>
      </c>
      <c r="G55" s="28">
        <f t="shared" si="31"/>
        <v>33032478.332471028</v>
      </c>
      <c r="H55" s="28">
        <f t="shared" si="31"/>
        <v>33438618.781358503</v>
      </c>
      <c r="I55" s="28">
        <f t="shared" si="31"/>
        <v>23851139.800435927</v>
      </c>
      <c r="J55" s="28">
        <f t="shared" si="31"/>
        <v>43465509.53892681</v>
      </c>
      <c r="K55" s="28">
        <f t="shared" si="31"/>
        <v>27859824.593737263</v>
      </c>
      <c r="L55" s="28">
        <f t="shared" si="31"/>
        <v>29587416.18291821</v>
      </c>
      <c r="M55" s="28">
        <f t="shared" si="31"/>
        <v>33041557.313791826</v>
      </c>
      <c r="N55" s="28">
        <f t="shared" si="31"/>
        <v>22871307.36339591</v>
      </c>
      <c r="O55" s="284">
        <f t="shared" si="31"/>
        <v>357313201.5193028</v>
      </c>
      <c r="P55" s="222">
        <f t="shared" si="30"/>
        <v>0.09472592131300919</v>
      </c>
    </row>
    <row r="56" spans="1:17" s="6" customFormat="1" ht="15">
      <c r="A56" s="18" t="s">
        <v>132</v>
      </c>
      <c r="B56" s="284">
        <f aca="true" t="shared" si="32" ref="B56:O56">SUM(B57:B77)</f>
        <v>58742650</v>
      </c>
      <c r="C56" s="28">
        <f t="shared" si="32"/>
        <v>4874500</v>
      </c>
      <c r="D56" s="28">
        <f t="shared" si="32"/>
        <v>5532000</v>
      </c>
      <c r="E56" s="28">
        <f t="shared" si="32"/>
        <v>5374500</v>
      </c>
      <c r="F56" s="28">
        <f t="shared" si="32"/>
        <v>5532000</v>
      </c>
      <c r="G56" s="28">
        <f t="shared" si="32"/>
        <v>5374500</v>
      </c>
      <c r="H56" s="28">
        <f t="shared" si="32"/>
        <v>6109500</v>
      </c>
      <c r="I56" s="28">
        <f t="shared" si="32"/>
        <v>4874500</v>
      </c>
      <c r="J56" s="28">
        <f t="shared" si="32"/>
        <v>5532000</v>
      </c>
      <c r="K56" s="28">
        <f t="shared" si="32"/>
        <v>4874500</v>
      </c>
      <c r="L56" s="28">
        <f t="shared" si="32"/>
        <v>5282000</v>
      </c>
      <c r="M56" s="28">
        <f t="shared" si="32"/>
        <v>5474000</v>
      </c>
      <c r="N56" s="28">
        <f t="shared" si="32"/>
        <v>5529500</v>
      </c>
      <c r="O56" s="284">
        <f t="shared" si="32"/>
        <v>64363500</v>
      </c>
      <c r="P56" s="222">
        <f t="shared" si="30"/>
        <v>0.09568601348424016</v>
      </c>
      <c r="Q56" s="14"/>
    </row>
    <row r="57" spans="1:16" s="6" customFormat="1" ht="15">
      <c r="A57" s="13" t="s">
        <v>97</v>
      </c>
      <c r="B57" s="279">
        <v>4285000</v>
      </c>
      <c r="C57" s="17">
        <f>+'[1]PROYECC NOMINA 7% PRIVADA'!$E$8</f>
        <v>1000000</v>
      </c>
      <c r="D57" s="17">
        <f>+'[1]PROYECC NOMINA 7% PRIVADA'!$E$8</f>
        <v>1000000</v>
      </c>
      <c r="E57" s="17">
        <f>+'[1]PROYECC NOMINA 7% PRIVADA'!$E$8</f>
        <v>1000000</v>
      </c>
      <c r="F57" s="17">
        <f>+'[1]PROYECC NOMINA 7% PRIVADA'!$E$8</f>
        <v>1000000</v>
      </c>
      <c r="G57" s="17">
        <f>+'[1]PROYECC NOMINA 7% PRIVADA'!$E$8</f>
        <v>1000000</v>
      </c>
      <c r="H57" s="17">
        <f>+'[1]PROYECC NOMINA 7% PRIVADA'!$E$8</f>
        <v>1000000</v>
      </c>
      <c r="I57" s="17">
        <f>+'[1]PROYECC NOMINA 7% PRIVADA'!$E$8</f>
        <v>1000000</v>
      </c>
      <c r="J57" s="17">
        <f>+'[1]PROYECC NOMINA 7% PRIVADA'!$E$8</f>
        <v>1000000</v>
      </c>
      <c r="K57" s="17">
        <f>+'[1]PROYECC NOMINA 7% PRIVADA'!$E$8</f>
        <v>1000000</v>
      </c>
      <c r="L57" s="17">
        <f>+'[1]PROYECC NOMINA 7% PRIVADA'!$E$8</f>
        <v>1000000</v>
      </c>
      <c r="M57" s="17">
        <f>+'[1]PROYECC NOMINA 7% PRIVADA'!$E$8</f>
        <v>1000000</v>
      </c>
      <c r="N57" s="17">
        <f>+'[1]PROYECC NOMINA 7% PRIVADA'!$E$8</f>
        <v>1000000</v>
      </c>
      <c r="O57" s="283">
        <f>SUM(C57:N57)</f>
        <v>12000000</v>
      </c>
      <c r="P57" s="227">
        <f>+(O57-B57)/B57</f>
        <v>1.8004667444574096</v>
      </c>
    </row>
    <row r="58" spans="1:16" s="6" customFormat="1" ht="15">
      <c r="A58" s="13" t="s">
        <v>657</v>
      </c>
      <c r="B58" s="279">
        <v>6397270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83">
        <f aca="true" t="shared" si="33" ref="O58:O77">SUM(C58:N58)</f>
        <v>0</v>
      </c>
      <c r="P58" s="227">
        <v>0</v>
      </c>
    </row>
    <row r="59" spans="1:16" s="6" customFormat="1" ht="15">
      <c r="A59" s="13" t="s">
        <v>99</v>
      </c>
      <c r="B59" s="279">
        <v>388500</v>
      </c>
      <c r="C59" s="17">
        <f>+'[1]PROYECC NOMINA 7% PRIVADA'!$D$8</f>
        <v>83000</v>
      </c>
      <c r="D59" s="17">
        <f>+'[1]PROYECC NOMINA 7% PRIVADA'!$D$8</f>
        <v>83000</v>
      </c>
      <c r="E59" s="17">
        <f>+'[1]PROYECC NOMINA 7% PRIVADA'!$D$8</f>
        <v>83000</v>
      </c>
      <c r="F59" s="17">
        <f>+'[1]PROYECC NOMINA 7% PRIVADA'!$D$8</f>
        <v>83000</v>
      </c>
      <c r="G59" s="17">
        <f>+'[1]PROYECC NOMINA 7% PRIVADA'!$D$8</f>
        <v>83000</v>
      </c>
      <c r="H59" s="17">
        <f>+'[1]PROYECC NOMINA 7% PRIVADA'!$D$8</f>
        <v>83000</v>
      </c>
      <c r="I59" s="17">
        <f>+'[1]PROYECC NOMINA 7% PRIVADA'!$D$8</f>
        <v>83000</v>
      </c>
      <c r="J59" s="17">
        <f>+'[1]PROYECC NOMINA 7% PRIVADA'!$D$8</f>
        <v>83000</v>
      </c>
      <c r="K59" s="17">
        <f>+'[1]PROYECC NOMINA 7% PRIVADA'!$D$8</f>
        <v>83000</v>
      </c>
      <c r="L59" s="17">
        <f>+'[1]PROYECC NOMINA 7% PRIVADA'!$D$8</f>
        <v>83000</v>
      </c>
      <c r="M59" s="17">
        <f>+'[1]PROYECC NOMINA 7% PRIVADA'!$D$8</f>
        <v>83000</v>
      </c>
      <c r="N59" s="17">
        <f>+'[1]PROYECC NOMINA 7% PRIVADA'!$D$8</f>
        <v>83000</v>
      </c>
      <c r="O59" s="283">
        <f t="shared" si="33"/>
        <v>996000</v>
      </c>
      <c r="P59" s="227">
        <f aca="true" t="shared" si="34" ref="P59:P76">+(O59-B59)/B59</f>
        <v>1.5637065637065637</v>
      </c>
    </row>
    <row r="60" spans="1:16" s="6" customFormat="1" ht="15">
      <c r="A60" s="13" t="s">
        <v>100</v>
      </c>
      <c r="B60" s="279">
        <v>389305</v>
      </c>
      <c r="C60" s="17">
        <f>+'[1]PROYECC NOMINA 7% PRIVADA'!$G$8</f>
        <v>90000</v>
      </c>
      <c r="D60" s="17">
        <f>+'[1]PROYECC NOMINA 7% PRIVADA'!$G$8</f>
        <v>90000</v>
      </c>
      <c r="E60" s="17">
        <f>+'[1]PROYECC NOMINA 7% PRIVADA'!$G$8</f>
        <v>90000</v>
      </c>
      <c r="F60" s="17">
        <f>+'[1]PROYECC NOMINA 7% PRIVADA'!$G$8</f>
        <v>90000</v>
      </c>
      <c r="G60" s="17">
        <f>+'[1]PROYECC NOMINA 7% PRIVADA'!$G$8</f>
        <v>90000</v>
      </c>
      <c r="H60" s="17">
        <f>+'[1]PROYECC NOMINA 7% PRIVADA'!$G$8</f>
        <v>90000</v>
      </c>
      <c r="I60" s="17">
        <f>+'[1]PROYECC NOMINA 7% PRIVADA'!$G$8</f>
        <v>90000</v>
      </c>
      <c r="J60" s="17">
        <f>+'[1]PROYECC NOMINA 7% PRIVADA'!$G$8</f>
        <v>90000</v>
      </c>
      <c r="K60" s="17">
        <f>+'[1]PROYECC NOMINA 7% PRIVADA'!$G$8</f>
        <v>90000</v>
      </c>
      <c r="L60" s="17">
        <f>+'[1]PROYECC NOMINA 7% PRIVADA'!$G$8</f>
        <v>90000</v>
      </c>
      <c r="M60" s="17">
        <f>+'[1]PROYECC NOMINA 7% PRIVADA'!$G$8</f>
        <v>90000</v>
      </c>
      <c r="N60" s="17">
        <f>+'[1]PROYECC NOMINA 7% PRIVADA'!$G$8</f>
        <v>90000</v>
      </c>
      <c r="O60" s="283">
        <f t="shared" si="33"/>
        <v>1080000</v>
      </c>
      <c r="P60" s="227">
        <f t="shared" si="34"/>
        <v>1.7741744904380883</v>
      </c>
    </row>
    <row r="61" spans="1:16" s="6" customFormat="1" ht="15">
      <c r="A61" s="13" t="s">
        <v>101</v>
      </c>
      <c r="B61" s="279">
        <v>46735</v>
      </c>
      <c r="C61" s="17">
        <f>+'[1]PROYECC NOMINA 7% PRIVADA'!$H$8</f>
        <v>11000</v>
      </c>
      <c r="D61" s="17">
        <f>+'[1]PROYECC NOMINA 7% PRIVADA'!$H$8</f>
        <v>11000</v>
      </c>
      <c r="E61" s="17">
        <f>+'[1]PROYECC NOMINA 7% PRIVADA'!$H$8</f>
        <v>11000</v>
      </c>
      <c r="F61" s="17">
        <f>+'[1]PROYECC NOMINA 7% PRIVADA'!$H$8</f>
        <v>11000</v>
      </c>
      <c r="G61" s="17">
        <f>+'[1]PROYECC NOMINA 7% PRIVADA'!$H$8</f>
        <v>11000</v>
      </c>
      <c r="H61" s="17">
        <f>+'[1]PROYECC NOMINA 7% PRIVADA'!$H$8</f>
        <v>11000</v>
      </c>
      <c r="I61" s="17">
        <f>+'[1]PROYECC NOMINA 7% PRIVADA'!$H$8</f>
        <v>11000</v>
      </c>
      <c r="J61" s="17">
        <f>+'[1]PROYECC NOMINA 7% PRIVADA'!$H$8</f>
        <v>11000</v>
      </c>
      <c r="K61" s="17">
        <f>+'[1]PROYECC NOMINA 7% PRIVADA'!$H$8</f>
        <v>11000</v>
      </c>
      <c r="L61" s="17">
        <f>+'[1]PROYECC NOMINA 7% PRIVADA'!$H$8</f>
        <v>11000</v>
      </c>
      <c r="M61" s="17">
        <f>+'[1]PROYECC NOMINA 7% PRIVADA'!$H$8</f>
        <v>11000</v>
      </c>
      <c r="N61" s="17">
        <f>+'[1]PROYECC NOMINA 7% PRIVADA'!$H$8</f>
        <v>11000</v>
      </c>
      <c r="O61" s="283">
        <f t="shared" si="33"/>
        <v>132000</v>
      </c>
      <c r="P61" s="227">
        <f t="shared" si="34"/>
        <v>1.8244356478014336</v>
      </c>
    </row>
    <row r="62" spans="1:16" s="6" customFormat="1" ht="15">
      <c r="A62" s="13" t="s">
        <v>102</v>
      </c>
      <c r="B62" s="279">
        <v>389305</v>
      </c>
      <c r="C62" s="17">
        <f>+'[1]PROYECC NOMINA 7% PRIVADA'!$I$8</f>
        <v>90000</v>
      </c>
      <c r="D62" s="17">
        <f>+'[1]PROYECC NOMINA 7% PRIVADA'!$I$8</f>
        <v>90000</v>
      </c>
      <c r="E62" s="17">
        <f>+'[1]PROYECC NOMINA 7% PRIVADA'!$I$8</f>
        <v>90000</v>
      </c>
      <c r="F62" s="17">
        <f>+'[1]PROYECC NOMINA 7% PRIVADA'!$I$8</f>
        <v>90000</v>
      </c>
      <c r="G62" s="17">
        <f>+'[1]PROYECC NOMINA 7% PRIVADA'!$I$8</f>
        <v>90000</v>
      </c>
      <c r="H62" s="17">
        <f>+'[1]PROYECC NOMINA 7% PRIVADA'!$I$8</f>
        <v>90000</v>
      </c>
      <c r="I62" s="17">
        <f>+'[1]PROYECC NOMINA 7% PRIVADA'!$I$8</f>
        <v>90000</v>
      </c>
      <c r="J62" s="17">
        <f>+'[1]PROYECC NOMINA 7% PRIVADA'!$I$8</f>
        <v>90000</v>
      </c>
      <c r="K62" s="17">
        <f>+'[1]PROYECC NOMINA 7% PRIVADA'!$I$8</f>
        <v>90000</v>
      </c>
      <c r="L62" s="17">
        <f>+'[1]PROYECC NOMINA 7% PRIVADA'!$I$8</f>
        <v>90000</v>
      </c>
      <c r="M62" s="17">
        <f>+'[1]PROYECC NOMINA 7% PRIVADA'!$I$8</f>
        <v>90000</v>
      </c>
      <c r="N62" s="17">
        <f>+'[1]PROYECC NOMINA 7% PRIVADA'!$I$8</f>
        <v>90000</v>
      </c>
      <c r="O62" s="283">
        <f t="shared" si="33"/>
        <v>1080000</v>
      </c>
      <c r="P62" s="227">
        <f t="shared" si="34"/>
        <v>1.7741744904380883</v>
      </c>
    </row>
    <row r="63" spans="1:16" s="6" customFormat="1" ht="15">
      <c r="A63" s="13" t="s">
        <v>103</v>
      </c>
      <c r="B63" s="279">
        <v>178685</v>
      </c>
      <c r="C63" s="17">
        <f>+'[1]PROYECC NOMINA 7% PRIVADA'!$J$8</f>
        <v>63000</v>
      </c>
      <c r="D63" s="17">
        <f>+'[1]PROYECC NOMINA 7% PRIVADA'!$J$8</f>
        <v>63000</v>
      </c>
      <c r="E63" s="17">
        <f>+'[1]PROYECC NOMINA 7% PRIVADA'!$J$8</f>
        <v>63000</v>
      </c>
      <c r="F63" s="17">
        <f>+'[1]PROYECC NOMINA 7% PRIVADA'!$J$8</f>
        <v>63000</v>
      </c>
      <c r="G63" s="17">
        <f>+'[1]PROYECC NOMINA 7% PRIVADA'!$J$8</f>
        <v>63000</v>
      </c>
      <c r="H63" s="17">
        <f>+'[1]PROYECC NOMINA 7% PRIVADA'!$J$8</f>
        <v>63000</v>
      </c>
      <c r="I63" s="17">
        <f>+'[1]PROYECC NOMINA 7% PRIVADA'!$J$8</f>
        <v>63000</v>
      </c>
      <c r="J63" s="17">
        <f>+'[1]PROYECC NOMINA 7% PRIVADA'!$J$8</f>
        <v>63000</v>
      </c>
      <c r="K63" s="17">
        <f>+'[1]PROYECC NOMINA 7% PRIVADA'!$J$8</f>
        <v>63000</v>
      </c>
      <c r="L63" s="17">
        <f>+'[1]PROYECC NOMINA 7% PRIVADA'!$J$8</f>
        <v>63000</v>
      </c>
      <c r="M63" s="17">
        <f>+'[1]PROYECC NOMINA 7% PRIVADA'!$J$8</f>
        <v>63000</v>
      </c>
      <c r="N63" s="17">
        <f>+'[1]PROYECC NOMINA 7% PRIVADA'!$J$8</f>
        <v>63000</v>
      </c>
      <c r="O63" s="283">
        <f t="shared" si="33"/>
        <v>756000</v>
      </c>
      <c r="P63" s="227">
        <f t="shared" si="34"/>
        <v>3.230909141785824</v>
      </c>
    </row>
    <row r="64" spans="1:16" s="6" customFormat="1" ht="15">
      <c r="A64" s="13" t="s">
        <v>133</v>
      </c>
      <c r="B64" s="279">
        <v>19000000</v>
      </c>
      <c r="C64" s="17">
        <v>1550000</v>
      </c>
      <c r="D64" s="17">
        <v>1550000</v>
      </c>
      <c r="E64" s="17">
        <v>1550000</v>
      </c>
      <c r="F64" s="17">
        <v>1550000</v>
      </c>
      <c r="G64" s="17">
        <v>1550000</v>
      </c>
      <c r="H64" s="17">
        <v>1550000</v>
      </c>
      <c r="I64" s="17">
        <v>1550000</v>
      </c>
      <c r="J64" s="17">
        <v>1550000</v>
      </c>
      <c r="K64" s="17">
        <v>1550000</v>
      </c>
      <c r="L64" s="17">
        <v>1550000</v>
      </c>
      <c r="M64" s="17">
        <v>1550000</v>
      </c>
      <c r="N64" s="17">
        <v>1550000</v>
      </c>
      <c r="O64" s="283">
        <f t="shared" si="33"/>
        <v>18600000</v>
      </c>
      <c r="P64" s="227">
        <f t="shared" si="34"/>
        <v>-0.021052631578947368</v>
      </c>
    </row>
    <row r="65" spans="1:16" s="6" customFormat="1" ht="15">
      <c r="A65" s="13" t="s">
        <v>104</v>
      </c>
      <c r="B65" s="279">
        <v>18000000</v>
      </c>
      <c r="C65" s="17">
        <v>1500000</v>
      </c>
      <c r="D65" s="17">
        <v>1500000</v>
      </c>
      <c r="E65" s="17">
        <v>1500000</v>
      </c>
      <c r="F65" s="17">
        <v>1500000</v>
      </c>
      <c r="G65" s="17">
        <v>1500000</v>
      </c>
      <c r="H65" s="17">
        <v>1500000</v>
      </c>
      <c r="I65" s="17">
        <v>1500000</v>
      </c>
      <c r="J65" s="17">
        <v>1500000</v>
      </c>
      <c r="K65" s="17">
        <v>1500000</v>
      </c>
      <c r="L65" s="17">
        <v>1500000</v>
      </c>
      <c r="M65" s="17">
        <v>1500000</v>
      </c>
      <c r="N65" s="17">
        <v>1500000</v>
      </c>
      <c r="O65" s="283">
        <f t="shared" si="33"/>
        <v>18000000</v>
      </c>
      <c r="P65" s="227">
        <f t="shared" si="34"/>
        <v>0</v>
      </c>
    </row>
    <row r="66" spans="1:16" s="6" customFormat="1" ht="15">
      <c r="A66" s="13" t="s">
        <v>658</v>
      </c>
      <c r="B66" s="279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283">
        <f t="shared" si="33"/>
        <v>0</v>
      </c>
      <c r="P66" s="227">
        <v>1</v>
      </c>
    </row>
    <row r="67" spans="1:16" s="6" customFormat="1" ht="15">
      <c r="A67" s="13" t="s">
        <v>105</v>
      </c>
      <c r="B67" s="279">
        <v>0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7">
        <v>0</v>
      </c>
      <c r="O67" s="283">
        <f t="shared" si="33"/>
        <v>0</v>
      </c>
      <c r="P67" s="227">
        <v>0</v>
      </c>
    </row>
    <row r="68" spans="1:16" s="6" customFormat="1" ht="15">
      <c r="A68" s="13" t="s">
        <v>706</v>
      </c>
      <c r="B68" s="279"/>
      <c r="C68" s="17">
        <v>122500</v>
      </c>
      <c r="D68" s="17">
        <f>250000+250000+80000+200000</f>
        <v>780000</v>
      </c>
      <c r="E68" s="17">
        <f>500000+122500</f>
        <v>622500</v>
      </c>
      <c r="F68" s="17">
        <f>250000+250000+80000+200000</f>
        <v>780000</v>
      </c>
      <c r="G68" s="17">
        <v>122500</v>
      </c>
      <c r="H68" s="17">
        <f>250000+250000+80000+137500+640000</f>
        <v>1357500</v>
      </c>
      <c r="I68" s="17">
        <v>122500</v>
      </c>
      <c r="J68" s="17">
        <f>250000+250000+80000+200000</f>
        <v>780000</v>
      </c>
      <c r="K68" s="17">
        <v>122500</v>
      </c>
      <c r="L68" s="17">
        <f>250000+80000+200000</f>
        <v>530000</v>
      </c>
      <c r="M68" s="17">
        <f>600000+122000</f>
        <v>722000</v>
      </c>
      <c r="N68" s="17">
        <f>137500+640000</f>
        <v>777500</v>
      </c>
      <c r="O68" s="283">
        <f t="shared" si="33"/>
        <v>6839500</v>
      </c>
      <c r="P68" s="227">
        <v>1</v>
      </c>
    </row>
    <row r="69" spans="1:16" s="6" customFormat="1" ht="15">
      <c r="A69" s="13" t="s">
        <v>106</v>
      </c>
      <c r="B69" s="279">
        <v>400000</v>
      </c>
      <c r="C69" s="16"/>
      <c r="D69" s="16"/>
      <c r="E69" s="16"/>
      <c r="F69" s="17">
        <v>0</v>
      </c>
      <c r="G69" s="17">
        <f>+'[2]PROYECC NOMINA 5,5% PRIVADA'!$Q$8</f>
        <v>500000</v>
      </c>
      <c r="H69" s="16"/>
      <c r="I69" s="16"/>
      <c r="J69" s="16"/>
      <c r="K69" s="16"/>
      <c r="L69" s="16"/>
      <c r="M69" s="16"/>
      <c r="N69" s="16"/>
      <c r="O69" s="283">
        <f t="shared" si="33"/>
        <v>500000</v>
      </c>
      <c r="P69" s="227">
        <f t="shared" si="34"/>
        <v>0.25</v>
      </c>
    </row>
    <row r="70" spans="1:16" s="6" customFormat="1" ht="15">
      <c r="A70" s="13" t="s">
        <v>108</v>
      </c>
      <c r="B70" s="279">
        <v>7981500</v>
      </c>
      <c r="C70" s="17">
        <v>0</v>
      </c>
      <c r="D70" s="16"/>
      <c r="E70" s="16"/>
      <c r="F70" s="17">
        <v>0</v>
      </c>
      <c r="G70" s="16"/>
      <c r="H70" s="16"/>
      <c r="I70" s="16"/>
      <c r="J70" s="16"/>
      <c r="K70" s="16"/>
      <c r="L70" s="16"/>
      <c r="M70" s="16"/>
      <c r="N70" s="16"/>
      <c r="O70" s="283">
        <f t="shared" si="33"/>
        <v>0</v>
      </c>
      <c r="P70" s="227">
        <f t="shared" si="34"/>
        <v>-1</v>
      </c>
    </row>
    <row r="71" spans="1:16" s="6" customFormat="1" ht="15">
      <c r="A71" s="13" t="s">
        <v>109</v>
      </c>
      <c r="B71" s="279">
        <v>22500</v>
      </c>
      <c r="C71" s="17">
        <f>+'[1]PROYECC NOMINA 7% PRIVADA'!$M$8</f>
        <v>70000</v>
      </c>
      <c r="D71" s="17">
        <f>+'[1]PROYECC NOMINA 7% PRIVADA'!$M$8</f>
        <v>70000</v>
      </c>
      <c r="E71" s="17">
        <f>+'[1]PROYECC NOMINA 7% PRIVADA'!$M$8</f>
        <v>70000</v>
      </c>
      <c r="F71" s="17">
        <f>+'[1]PROYECC NOMINA 7% PRIVADA'!$M$8</f>
        <v>70000</v>
      </c>
      <c r="G71" s="17">
        <f>+'[1]PROYECC NOMINA 7% PRIVADA'!$M$8</f>
        <v>70000</v>
      </c>
      <c r="H71" s="17">
        <f>+'[1]PROYECC NOMINA 7% PRIVADA'!$M$8</f>
        <v>70000</v>
      </c>
      <c r="I71" s="17">
        <f>+'[1]PROYECC NOMINA 7% PRIVADA'!$M$8</f>
        <v>70000</v>
      </c>
      <c r="J71" s="17">
        <f>+'[1]PROYECC NOMINA 7% PRIVADA'!$M$8</f>
        <v>70000</v>
      </c>
      <c r="K71" s="17">
        <f>+'[1]PROYECC NOMINA 7% PRIVADA'!$M$8</f>
        <v>70000</v>
      </c>
      <c r="L71" s="17">
        <f>+'[1]PROYECC NOMINA 7% PRIVADA'!$M$8</f>
        <v>70000</v>
      </c>
      <c r="M71" s="17">
        <f>+'[1]PROYECC NOMINA 7% PRIVADA'!$M$8</f>
        <v>70000</v>
      </c>
      <c r="N71" s="17">
        <f>+'[1]PROYECC NOMINA 7% PRIVADA'!$M$8</f>
        <v>70000</v>
      </c>
      <c r="O71" s="283">
        <f t="shared" si="33"/>
        <v>840000</v>
      </c>
      <c r="P71" s="227">
        <f t="shared" si="34"/>
        <v>36.333333333333336</v>
      </c>
    </row>
    <row r="72" spans="1:16" s="6" customFormat="1" ht="15">
      <c r="A72" s="13" t="s">
        <v>110</v>
      </c>
      <c r="B72" s="279">
        <v>364100</v>
      </c>
      <c r="C72" s="17">
        <f>+'[1]PROYECC NOMINA 7% PRIVADA'!$K$8</f>
        <v>85000</v>
      </c>
      <c r="D72" s="17">
        <f>+'[1]PROYECC NOMINA 7% PRIVADA'!$K$8</f>
        <v>85000</v>
      </c>
      <c r="E72" s="17">
        <f>+'[1]PROYECC NOMINA 7% PRIVADA'!$K$8</f>
        <v>85000</v>
      </c>
      <c r="F72" s="17">
        <f>+'[1]PROYECC NOMINA 7% PRIVADA'!$K$8</f>
        <v>85000</v>
      </c>
      <c r="G72" s="17">
        <f>+'[1]PROYECC NOMINA 7% PRIVADA'!$K$8</f>
        <v>85000</v>
      </c>
      <c r="H72" s="17">
        <f>+'[1]PROYECC NOMINA 7% PRIVADA'!$K$8</f>
        <v>85000</v>
      </c>
      <c r="I72" s="17">
        <f>+'[1]PROYECC NOMINA 7% PRIVADA'!$K$8</f>
        <v>85000</v>
      </c>
      <c r="J72" s="17">
        <f>+'[1]PROYECC NOMINA 7% PRIVADA'!$K$8</f>
        <v>85000</v>
      </c>
      <c r="K72" s="17">
        <f>+'[1]PROYECC NOMINA 7% PRIVADA'!$K$8</f>
        <v>85000</v>
      </c>
      <c r="L72" s="17">
        <f>+'[1]PROYECC NOMINA 7% PRIVADA'!$K$8</f>
        <v>85000</v>
      </c>
      <c r="M72" s="17">
        <f>+'[1]PROYECC NOMINA 7% PRIVADA'!$K$8</f>
        <v>85000</v>
      </c>
      <c r="N72" s="17">
        <f>+'[1]PROYECC NOMINA 7% PRIVADA'!$K$8</f>
        <v>85000</v>
      </c>
      <c r="O72" s="283">
        <f t="shared" si="33"/>
        <v>1020000</v>
      </c>
      <c r="P72" s="227">
        <f t="shared" si="34"/>
        <v>1.8014281790716835</v>
      </c>
    </row>
    <row r="73" spans="1:16" s="6" customFormat="1" ht="15">
      <c r="A73" s="13" t="s">
        <v>111</v>
      </c>
      <c r="B73" s="279">
        <v>514100</v>
      </c>
      <c r="C73" s="17">
        <f>+'[1]PROYECC NOMINA 7% PRIVADA'!$L$8</f>
        <v>120000</v>
      </c>
      <c r="D73" s="17">
        <f>+'[1]PROYECC NOMINA 7% PRIVADA'!$L$8</f>
        <v>120000</v>
      </c>
      <c r="E73" s="17">
        <f>+'[1]PROYECC NOMINA 7% PRIVADA'!$L$8</f>
        <v>120000</v>
      </c>
      <c r="F73" s="17">
        <f>+'[1]PROYECC NOMINA 7% PRIVADA'!$L$8</f>
        <v>120000</v>
      </c>
      <c r="G73" s="17">
        <f>+'[1]PROYECC NOMINA 7% PRIVADA'!$L$8</f>
        <v>120000</v>
      </c>
      <c r="H73" s="17">
        <f>+'[1]PROYECC NOMINA 7% PRIVADA'!$L$8</f>
        <v>120000</v>
      </c>
      <c r="I73" s="17">
        <f>+'[1]PROYECC NOMINA 7% PRIVADA'!$L$8</f>
        <v>120000</v>
      </c>
      <c r="J73" s="17">
        <f>+'[1]PROYECC NOMINA 7% PRIVADA'!$L$8</f>
        <v>120000</v>
      </c>
      <c r="K73" s="17">
        <f>+'[1]PROYECC NOMINA 7% PRIVADA'!$L$8</f>
        <v>120000</v>
      </c>
      <c r="L73" s="17">
        <f>+'[1]PROYECC NOMINA 7% PRIVADA'!$L$8</f>
        <v>120000</v>
      </c>
      <c r="M73" s="17">
        <f>+'[1]PROYECC NOMINA 7% PRIVADA'!$L$8</f>
        <v>120000</v>
      </c>
      <c r="N73" s="17">
        <f>+'[1]PROYECC NOMINA 7% PRIVADA'!$L$8</f>
        <v>120000</v>
      </c>
      <c r="O73" s="283">
        <f t="shared" si="33"/>
        <v>1440000</v>
      </c>
      <c r="P73" s="227">
        <f t="shared" si="34"/>
        <v>1.8010114763664657</v>
      </c>
    </row>
    <row r="74" spans="1:16" s="6" customFormat="1" ht="15">
      <c r="A74" s="13" t="s">
        <v>112</v>
      </c>
      <c r="B74" s="279">
        <v>171400</v>
      </c>
      <c r="C74" s="17">
        <f>+'[1]PROYECC NOMINA 7% PRIVADA'!$N$8</f>
        <v>40000</v>
      </c>
      <c r="D74" s="17">
        <f>+'[1]PROYECC NOMINA 7% PRIVADA'!$N$8</f>
        <v>40000</v>
      </c>
      <c r="E74" s="17">
        <f>+'[1]PROYECC NOMINA 7% PRIVADA'!$N$8</f>
        <v>40000</v>
      </c>
      <c r="F74" s="17">
        <f>+'[1]PROYECC NOMINA 7% PRIVADA'!$N$8</f>
        <v>40000</v>
      </c>
      <c r="G74" s="17">
        <f>+'[1]PROYECC NOMINA 7% PRIVADA'!$N$8</f>
        <v>40000</v>
      </c>
      <c r="H74" s="17">
        <f>+'[1]PROYECC NOMINA 7% PRIVADA'!$N$8</f>
        <v>40000</v>
      </c>
      <c r="I74" s="17">
        <f>+'[1]PROYECC NOMINA 7% PRIVADA'!$N$8</f>
        <v>40000</v>
      </c>
      <c r="J74" s="17">
        <f>+'[1]PROYECC NOMINA 7% PRIVADA'!$N$8</f>
        <v>40000</v>
      </c>
      <c r="K74" s="17">
        <f>+'[1]PROYECC NOMINA 7% PRIVADA'!$N$8</f>
        <v>40000</v>
      </c>
      <c r="L74" s="17">
        <f>+'[1]PROYECC NOMINA 7% PRIVADA'!$N$8</f>
        <v>40000</v>
      </c>
      <c r="M74" s="17">
        <f>+'[1]PROYECC NOMINA 7% PRIVADA'!$N$8</f>
        <v>40000</v>
      </c>
      <c r="N74" s="17">
        <f>+'[1]PROYECC NOMINA 7% PRIVADA'!$N$8</f>
        <v>40000</v>
      </c>
      <c r="O74" s="283">
        <f t="shared" si="33"/>
        <v>480000</v>
      </c>
      <c r="P74" s="227">
        <f t="shared" si="34"/>
        <v>1.8004667444574096</v>
      </c>
    </row>
    <row r="75" spans="1:16" s="6" customFormat="1" ht="15">
      <c r="A75" s="13" t="s">
        <v>113</v>
      </c>
      <c r="B75" s="279">
        <v>128550</v>
      </c>
      <c r="C75" s="17">
        <f>+'[1]PROYECC NOMINA 7% PRIVADA'!$O$8</f>
        <v>30000</v>
      </c>
      <c r="D75" s="17">
        <f>+'[1]PROYECC NOMINA 7% PRIVADA'!$O$8</f>
        <v>30000</v>
      </c>
      <c r="E75" s="17">
        <f>+'[1]PROYECC NOMINA 7% PRIVADA'!$O$8</f>
        <v>30000</v>
      </c>
      <c r="F75" s="17">
        <f>+'[1]PROYECC NOMINA 7% PRIVADA'!$O$8</f>
        <v>30000</v>
      </c>
      <c r="G75" s="17">
        <f>+'[1]PROYECC NOMINA 7% PRIVADA'!$O$8</f>
        <v>30000</v>
      </c>
      <c r="H75" s="17">
        <f>+'[1]PROYECC NOMINA 7% PRIVADA'!$O$8</f>
        <v>30000</v>
      </c>
      <c r="I75" s="17">
        <f>+'[1]PROYECC NOMINA 7% PRIVADA'!$O$8</f>
        <v>30000</v>
      </c>
      <c r="J75" s="17">
        <f>+'[1]PROYECC NOMINA 7% PRIVADA'!$O$8</f>
        <v>30000</v>
      </c>
      <c r="K75" s="17">
        <f>+'[1]PROYECC NOMINA 7% PRIVADA'!$O$8</f>
        <v>30000</v>
      </c>
      <c r="L75" s="17">
        <f>+'[1]PROYECC NOMINA 7% PRIVADA'!$O$8</f>
        <v>30000</v>
      </c>
      <c r="M75" s="17">
        <f>+'[1]PROYECC NOMINA 7% PRIVADA'!$O$8</f>
        <v>30000</v>
      </c>
      <c r="N75" s="17">
        <f>+'[1]PROYECC NOMINA 7% PRIVADA'!$O$8</f>
        <v>30000</v>
      </c>
      <c r="O75" s="283">
        <f t="shared" si="33"/>
        <v>360000</v>
      </c>
      <c r="P75" s="227">
        <f t="shared" si="34"/>
        <v>1.8004667444574096</v>
      </c>
    </row>
    <row r="76" spans="1:16" s="6" customFormat="1" ht="15">
      <c r="A76" s="13" t="s">
        <v>114</v>
      </c>
      <c r="B76" s="279">
        <v>85700</v>
      </c>
      <c r="C76" s="17">
        <f>+'[1]PROYECC NOMINA 7% PRIVADA'!$P$8</f>
        <v>20000</v>
      </c>
      <c r="D76" s="17">
        <f>+'[1]PROYECC NOMINA 7% PRIVADA'!$P$8</f>
        <v>20000</v>
      </c>
      <c r="E76" s="17">
        <f>+'[1]PROYECC NOMINA 7% PRIVADA'!$P$8</f>
        <v>20000</v>
      </c>
      <c r="F76" s="17">
        <f>+'[1]PROYECC NOMINA 7% PRIVADA'!$P$8</f>
        <v>20000</v>
      </c>
      <c r="G76" s="17">
        <f>+'[1]PROYECC NOMINA 7% PRIVADA'!$P$8</f>
        <v>20000</v>
      </c>
      <c r="H76" s="17">
        <f>+'[1]PROYECC NOMINA 7% PRIVADA'!$P$8</f>
        <v>20000</v>
      </c>
      <c r="I76" s="17">
        <f>+'[1]PROYECC NOMINA 7% PRIVADA'!$P$8</f>
        <v>20000</v>
      </c>
      <c r="J76" s="17">
        <f>+'[1]PROYECC NOMINA 7% PRIVADA'!$P$8</f>
        <v>20000</v>
      </c>
      <c r="K76" s="17">
        <f>+'[1]PROYECC NOMINA 7% PRIVADA'!$P$8</f>
        <v>20000</v>
      </c>
      <c r="L76" s="17">
        <f>+'[1]PROYECC NOMINA 7% PRIVADA'!$P$8</f>
        <v>20000</v>
      </c>
      <c r="M76" s="17">
        <f>+'[1]PROYECC NOMINA 7% PRIVADA'!$P$8</f>
        <v>20000</v>
      </c>
      <c r="N76" s="17">
        <f>+'[1]PROYECC NOMINA 7% PRIVADA'!$P$8</f>
        <v>20000</v>
      </c>
      <c r="O76" s="283">
        <f t="shared" si="33"/>
        <v>240000</v>
      </c>
      <c r="P76" s="227">
        <f t="shared" si="34"/>
        <v>1.8004667444574096</v>
      </c>
    </row>
    <row r="77" spans="1:16" s="6" customFormat="1" ht="15">
      <c r="A77" s="13" t="s">
        <v>116</v>
      </c>
      <c r="B77" s="279"/>
      <c r="C77" s="16"/>
      <c r="D77" s="16"/>
      <c r="E77" s="16"/>
      <c r="F77" s="16"/>
      <c r="G77" s="17"/>
      <c r="H77" s="17"/>
      <c r="I77" s="17"/>
      <c r="J77" s="17"/>
      <c r="K77" s="17"/>
      <c r="L77" s="17"/>
      <c r="M77" s="17"/>
      <c r="N77" s="16"/>
      <c r="O77" s="283">
        <f t="shared" si="33"/>
        <v>0</v>
      </c>
      <c r="P77" s="227">
        <v>0</v>
      </c>
    </row>
    <row r="78" spans="1:16" s="6" customFormat="1" ht="15">
      <c r="A78" s="18" t="s">
        <v>1</v>
      </c>
      <c r="B78" s="289">
        <f>SUM(B79:B82)</f>
        <v>14228000</v>
      </c>
      <c r="C78" s="19">
        <f>SUM(C79:C80)</f>
        <v>0</v>
      </c>
      <c r="D78" s="19">
        <f>SUM(D79:D80)</f>
        <v>2200000</v>
      </c>
      <c r="E78" s="19">
        <f>SUM(E79:E82)</f>
        <v>0</v>
      </c>
      <c r="F78" s="19">
        <f aca="true" t="shared" si="35" ref="F78">SUM(F79:F80)</f>
        <v>1200000</v>
      </c>
      <c r="G78" s="19">
        <f aca="true" t="shared" si="36" ref="G78:O78">SUM(G79:G82)</f>
        <v>1800000</v>
      </c>
      <c r="H78" s="19">
        <f t="shared" si="36"/>
        <v>3200000</v>
      </c>
      <c r="I78" s="19">
        <f t="shared" si="36"/>
        <v>1200000</v>
      </c>
      <c r="J78" s="19">
        <f t="shared" si="36"/>
        <v>17000000</v>
      </c>
      <c r="K78" s="19">
        <f t="shared" si="36"/>
        <v>0</v>
      </c>
      <c r="L78" s="19">
        <f t="shared" si="36"/>
        <v>3000000</v>
      </c>
      <c r="M78" s="19">
        <f t="shared" si="36"/>
        <v>0</v>
      </c>
      <c r="N78" s="19">
        <f t="shared" si="36"/>
        <v>0</v>
      </c>
      <c r="O78" s="289">
        <f t="shared" si="36"/>
        <v>29600000</v>
      </c>
      <c r="P78" s="227">
        <f aca="true" t="shared" si="37" ref="P78:P131">+(O78-B78)/B78</f>
        <v>1.0804048355355638</v>
      </c>
    </row>
    <row r="79" spans="1:16" ht="15">
      <c r="A79" s="13" t="s">
        <v>761</v>
      </c>
      <c r="B79" s="279">
        <v>9000000</v>
      </c>
      <c r="C79" s="17">
        <v>0</v>
      </c>
      <c r="D79" s="17">
        <v>1200000</v>
      </c>
      <c r="E79" s="17">
        <v>0</v>
      </c>
      <c r="F79" s="32">
        <v>1200000</v>
      </c>
      <c r="G79" s="32"/>
      <c r="H79" s="32">
        <v>1200000</v>
      </c>
      <c r="I79" s="32">
        <v>1200000</v>
      </c>
      <c r="J79" s="32">
        <f>15000000+2000000</f>
        <v>17000000</v>
      </c>
      <c r="K79" s="32"/>
      <c r="L79" s="32"/>
      <c r="M79" s="32">
        <v>0</v>
      </c>
      <c r="N79" s="32"/>
      <c r="O79" s="283">
        <f aca="true" t="shared" si="38" ref="O79:O81">SUM(C79:N79)</f>
        <v>21800000</v>
      </c>
      <c r="P79" s="227">
        <f t="shared" si="37"/>
        <v>1.4222222222222223</v>
      </c>
    </row>
    <row r="80" spans="1:16" ht="15">
      <c r="A80" s="13" t="s">
        <v>258</v>
      </c>
      <c r="B80" s="279">
        <v>2328000</v>
      </c>
      <c r="C80" s="17">
        <v>0</v>
      </c>
      <c r="D80" s="17">
        <v>1000000</v>
      </c>
      <c r="E80" s="17">
        <v>0</v>
      </c>
      <c r="F80" s="17">
        <v>0</v>
      </c>
      <c r="G80" s="17">
        <v>0</v>
      </c>
      <c r="H80" s="17">
        <v>2000000</v>
      </c>
      <c r="I80" s="17">
        <v>0</v>
      </c>
      <c r="J80" s="17">
        <v>0</v>
      </c>
      <c r="K80" s="17">
        <v>0</v>
      </c>
      <c r="L80" s="17">
        <v>3000000</v>
      </c>
      <c r="M80" s="17">
        <v>0</v>
      </c>
      <c r="N80" s="17">
        <v>0</v>
      </c>
      <c r="O80" s="283">
        <f t="shared" si="38"/>
        <v>6000000</v>
      </c>
      <c r="P80" s="227">
        <f t="shared" si="37"/>
        <v>1.577319587628866</v>
      </c>
    </row>
    <row r="81" spans="1:16" ht="15">
      <c r="A81" s="13" t="s">
        <v>551</v>
      </c>
      <c r="B81" s="279">
        <v>2900000</v>
      </c>
      <c r="C81" s="32"/>
      <c r="D81" s="32"/>
      <c r="E81" s="32"/>
      <c r="F81" s="32"/>
      <c r="G81" s="11">
        <v>1800000</v>
      </c>
      <c r="H81" s="32"/>
      <c r="I81" s="32"/>
      <c r="J81" s="32"/>
      <c r="K81" s="11">
        <v>0</v>
      </c>
      <c r="L81" s="32"/>
      <c r="M81" s="32"/>
      <c r="N81" s="32"/>
      <c r="O81" s="283">
        <f t="shared" si="38"/>
        <v>1800000</v>
      </c>
      <c r="P81" s="227">
        <f t="shared" si="37"/>
        <v>-0.3793103448275862</v>
      </c>
    </row>
    <row r="82" spans="1:16" ht="15">
      <c r="A82" s="277" t="s">
        <v>653</v>
      </c>
      <c r="B82" s="279">
        <v>0</v>
      </c>
      <c r="C82" s="32"/>
      <c r="D82" s="32"/>
      <c r="E82" s="32"/>
      <c r="F82" s="32"/>
      <c r="G82" s="11"/>
      <c r="H82" s="32"/>
      <c r="I82" s="32"/>
      <c r="J82" s="32">
        <v>0</v>
      </c>
      <c r="K82" s="11"/>
      <c r="L82" s="32"/>
      <c r="M82" s="32"/>
      <c r="N82" s="32"/>
      <c r="O82" s="283">
        <v>0</v>
      </c>
      <c r="P82" s="227"/>
    </row>
    <row r="83" spans="1:16" ht="15">
      <c r="A83" s="18" t="s">
        <v>5</v>
      </c>
      <c r="B83" s="278">
        <f>SUM(B84:B88)</f>
        <v>11147143.8</v>
      </c>
      <c r="C83" s="10">
        <f>SUM(C84:C88)</f>
        <v>4691712.55</v>
      </c>
      <c r="D83" s="10">
        <f aca="true" t="shared" si="39" ref="D83:O83">SUM(D84:D88)</f>
        <v>473751.06</v>
      </c>
      <c r="E83" s="10">
        <f t="shared" si="39"/>
        <v>768358.4400000001</v>
      </c>
      <c r="F83" s="10">
        <f t="shared" si="39"/>
        <v>620755.1499999999</v>
      </c>
      <c r="G83" s="10">
        <f t="shared" si="39"/>
        <v>426387.50999999995</v>
      </c>
      <c r="H83" s="10">
        <f t="shared" si="39"/>
        <v>485429.04</v>
      </c>
      <c r="I83" s="10">
        <f t="shared" si="39"/>
        <v>180916.66999999998</v>
      </c>
      <c r="J83" s="10">
        <f t="shared" si="39"/>
        <v>49795.659999999996</v>
      </c>
      <c r="K83" s="10">
        <f t="shared" si="39"/>
        <v>57847.409999999996</v>
      </c>
      <c r="L83" s="10">
        <f t="shared" si="39"/>
        <v>3624953.4899999998</v>
      </c>
      <c r="M83" s="10">
        <f t="shared" si="39"/>
        <v>273637.41299999994</v>
      </c>
      <c r="N83" s="10">
        <f t="shared" si="39"/>
        <v>273637.41299999994</v>
      </c>
      <c r="O83" s="278">
        <f t="shared" si="39"/>
        <v>11927181.805999998</v>
      </c>
      <c r="P83" s="227">
        <f t="shared" si="37"/>
        <v>0.06997649083884584</v>
      </c>
    </row>
    <row r="84" spans="1:16" ht="15">
      <c r="A84" s="166" t="s">
        <v>6</v>
      </c>
      <c r="B84" s="285">
        <v>3860058</v>
      </c>
      <c r="C84" s="11">
        <f>ROUND((B84*$B$52)+B84,-3)</f>
        <v>4130000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86">
        <f aca="true" t="shared" si="40" ref="O84:O88">SUM(C84:N84)</f>
        <v>4130000</v>
      </c>
      <c r="P84" s="227">
        <f t="shared" si="37"/>
        <v>0.06993210982840155</v>
      </c>
    </row>
    <row r="85" spans="1:16" ht="12">
      <c r="A85" s="171" t="s">
        <v>251</v>
      </c>
      <c r="B85" s="285">
        <v>0</v>
      </c>
      <c r="C85" s="11">
        <f aca="true" t="shared" si="41" ref="C85:N85">ROUND((($B$85*$B$52)+$B$85)/12,-3)</f>
        <v>0</v>
      </c>
      <c r="D85" s="11">
        <f t="shared" si="41"/>
        <v>0</v>
      </c>
      <c r="E85" s="11">
        <f t="shared" si="41"/>
        <v>0</v>
      </c>
      <c r="F85" s="11">
        <f t="shared" si="41"/>
        <v>0</v>
      </c>
      <c r="G85" s="11">
        <f t="shared" si="41"/>
        <v>0</v>
      </c>
      <c r="H85" s="11">
        <f t="shared" si="41"/>
        <v>0</v>
      </c>
      <c r="I85" s="11">
        <f t="shared" si="41"/>
        <v>0</v>
      </c>
      <c r="J85" s="11">
        <f t="shared" si="41"/>
        <v>0</v>
      </c>
      <c r="K85" s="11">
        <f t="shared" si="41"/>
        <v>0</v>
      </c>
      <c r="L85" s="11">
        <f t="shared" si="41"/>
        <v>0</v>
      </c>
      <c r="M85" s="11">
        <f t="shared" si="41"/>
        <v>0</v>
      </c>
      <c r="N85" s="11">
        <f t="shared" si="41"/>
        <v>0</v>
      </c>
      <c r="O85" s="286">
        <f t="shared" si="40"/>
        <v>0</v>
      </c>
      <c r="P85" s="227">
        <v>0</v>
      </c>
    </row>
    <row r="86" spans="1:16" ht="12">
      <c r="A86" s="171" t="s">
        <v>252</v>
      </c>
      <c r="B86" s="285">
        <f>+O286</f>
        <v>7103631.800000001</v>
      </c>
      <c r="C86" s="11">
        <f>+$Q$286*C289</f>
        <v>554690.14</v>
      </c>
      <c r="D86" s="11">
        <f aca="true" t="shared" si="42" ref="D86:N86">+$Q$286*D289</f>
        <v>467001.5</v>
      </c>
      <c r="E86" s="11">
        <f t="shared" si="42"/>
        <v>764339.52</v>
      </c>
      <c r="F86" s="11">
        <f t="shared" si="42"/>
        <v>615382.6799999999</v>
      </c>
      <c r="G86" s="11">
        <f t="shared" si="42"/>
        <v>403974.22</v>
      </c>
      <c r="H86" s="11">
        <f t="shared" si="42"/>
        <v>448748.37</v>
      </c>
      <c r="I86" s="11">
        <f t="shared" si="42"/>
        <v>177846.84</v>
      </c>
      <c r="J86" s="11">
        <f t="shared" si="42"/>
        <v>42487.56</v>
      </c>
      <c r="K86" s="11">
        <f t="shared" si="42"/>
        <v>52334.77</v>
      </c>
      <c r="L86" s="11">
        <f t="shared" si="42"/>
        <v>3526805.5999999996</v>
      </c>
      <c r="M86" s="11">
        <f t="shared" si="42"/>
        <v>273637.41299999994</v>
      </c>
      <c r="N86" s="11">
        <f t="shared" si="42"/>
        <v>273637.41299999994</v>
      </c>
      <c r="O86" s="286">
        <f t="shared" si="40"/>
        <v>7600886.025999999</v>
      </c>
      <c r="P86" s="227">
        <f t="shared" si="37"/>
        <v>0.0699999999999997</v>
      </c>
    </row>
    <row r="87" spans="1:16" ht="12">
      <c r="A87" s="171" t="s">
        <v>286</v>
      </c>
      <c r="B87" s="285">
        <v>0</v>
      </c>
      <c r="C87" s="11">
        <f aca="true" t="shared" si="43" ref="C87:N87">ROUND((($B$87*$B$52)+$B$87)/12,-3)</f>
        <v>0</v>
      </c>
      <c r="D87" s="11">
        <f t="shared" si="43"/>
        <v>0</v>
      </c>
      <c r="E87" s="11">
        <f t="shared" si="43"/>
        <v>0</v>
      </c>
      <c r="F87" s="11">
        <f t="shared" si="43"/>
        <v>0</v>
      </c>
      <c r="G87" s="11">
        <f t="shared" si="43"/>
        <v>0</v>
      </c>
      <c r="H87" s="11">
        <f t="shared" si="43"/>
        <v>0</v>
      </c>
      <c r="I87" s="11">
        <f t="shared" si="43"/>
        <v>0</v>
      </c>
      <c r="J87" s="11">
        <f t="shared" si="43"/>
        <v>0</v>
      </c>
      <c r="K87" s="11">
        <f t="shared" si="43"/>
        <v>0</v>
      </c>
      <c r="L87" s="11">
        <f t="shared" si="43"/>
        <v>0</v>
      </c>
      <c r="M87" s="11">
        <f t="shared" si="43"/>
        <v>0</v>
      </c>
      <c r="N87" s="11">
        <f t="shared" si="43"/>
        <v>0</v>
      </c>
      <c r="O87" s="286">
        <f t="shared" si="40"/>
        <v>0</v>
      </c>
      <c r="P87" s="227">
        <v>0</v>
      </c>
    </row>
    <row r="88" spans="1:16" ht="12">
      <c r="A88" s="171" t="s">
        <v>287</v>
      </c>
      <c r="B88" s="285">
        <f>+O287</f>
        <v>183454</v>
      </c>
      <c r="C88" s="11">
        <f>+$Q$287*C290</f>
        <v>7022.410000000001</v>
      </c>
      <c r="D88" s="11">
        <f aca="true" t="shared" si="44" ref="D88:N88">+$Q$287*D290</f>
        <v>6749.56</v>
      </c>
      <c r="E88" s="11">
        <f t="shared" si="44"/>
        <v>4018.92</v>
      </c>
      <c r="F88" s="11">
        <f t="shared" si="44"/>
        <v>5372.47</v>
      </c>
      <c r="G88" s="11">
        <f t="shared" si="44"/>
        <v>22413.29</v>
      </c>
      <c r="H88" s="11">
        <f t="shared" si="44"/>
        <v>36680.67</v>
      </c>
      <c r="I88" s="11">
        <f t="shared" si="44"/>
        <v>3069.83</v>
      </c>
      <c r="J88" s="11">
        <f t="shared" si="44"/>
        <v>7308.1</v>
      </c>
      <c r="K88" s="11">
        <f t="shared" si="44"/>
        <v>5512.64</v>
      </c>
      <c r="L88" s="11">
        <f t="shared" si="44"/>
        <v>98147.89</v>
      </c>
      <c r="M88" s="11">
        <f t="shared" si="44"/>
        <v>0</v>
      </c>
      <c r="N88" s="11">
        <f t="shared" si="44"/>
        <v>0</v>
      </c>
      <c r="O88" s="286">
        <f t="shared" si="40"/>
        <v>196295.78000000003</v>
      </c>
      <c r="P88" s="227">
        <f t="shared" si="37"/>
        <v>0.07000000000000015</v>
      </c>
    </row>
    <row r="89" spans="1:16" ht="15">
      <c r="A89" s="18" t="s">
        <v>7</v>
      </c>
      <c r="B89" s="289">
        <f>SUM(B90:B93)</f>
        <v>4019818</v>
      </c>
      <c r="C89" s="19">
        <f>SUM(C90:C93)</f>
        <v>351000</v>
      </c>
      <c r="D89" s="19">
        <f aca="true" t="shared" si="45" ref="D89:O89">SUM(D90:D93)</f>
        <v>351000</v>
      </c>
      <c r="E89" s="19">
        <f t="shared" si="45"/>
        <v>351000</v>
      </c>
      <c r="F89" s="19">
        <f t="shared" si="45"/>
        <v>399000</v>
      </c>
      <c r="G89" s="19">
        <f t="shared" si="45"/>
        <v>351000</v>
      </c>
      <c r="H89" s="19">
        <f t="shared" si="45"/>
        <v>351000</v>
      </c>
      <c r="I89" s="19">
        <f t="shared" si="45"/>
        <v>351000</v>
      </c>
      <c r="J89" s="19">
        <f t="shared" si="45"/>
        <v>351000</v>
      </c>
      <c r="K89" s="19">
        <f t="shared" si="45"/>
        <v>399000</v>
      </c>
      <c r="L89" s="19">
        <f t="shared" si="45"/>
        <v>351000</v>
      </c>
      <c r="M89" s="19">
        <f t="shared" si="45"/>
        <v>351000</v>
      </c>
      <c r="N89" s="19">
        <f t="shared" si="45"/>
        <v>351000</v>
      </c>
      <c r="O89" s="289">
        <f t="shared" si="45"/>
        <v>4308000</v>
      </c>
      <c r="P89" s="227">
        <f t="shared" si="37"/>
        <v>0.07169031035733459</v>
      </c>
    </row>
    <row r="90" spans="1:16" ht="15">
      <c r="A90" s="13" t="s">
        <v>8</v>
      </c>
      <c r="B90" s="279">
        <v>90000</v>
      </c>
      <c r="C90" s="8">
        <v>0</v>
      </c>
      <c r="D90" s="8">
        <v>0</v>
      </c>
      <c r="E90" s="8">
        <v>0</v>
      </c>
      <c r="F90" s="8">
        <f>ROUND(((+$B$90*$B$52)+$B$90)/2,-3)</f>
        <v>48000</v>
      </c>
      <c r="G90" s="8">
        <v>0</v>
      </c>
      <c r="H90" s="8">
        <v>0</v>
      </c>
      <c r="I90" s="8">
        <v>0</v>
      </c>
      <c r="J90" s="8">
        <v>0</v>
      </c>
      <c r="K90" s="8">
        <f>ROUND(((+$B$90*$B$52)+$B$90)/2,-3)</f>
        <v>48000</v>
      </c>
      <c r="L90" s="8">
        <v>0</v>
      </c>
      <c r="M90" s="8">
        <v>0</v>
      </c>
      <c r="N90" s="8">
        <v>0</v>
      </c>
      <c r="O90" s="286">
        <f aca="true" t="shared" si="46" ref="O90:O93">SUM(C90:N90)</f>
        <v>96000</v>
      </c>
      <c r="P90" s="227">
        <f t="shared" si="37"/>
        <v>0.06666666666666667</v>
      </c>
    </row>
    <row r="91" spans="1:16" ht="15">
      <c r="A91" s="13" t="s">
        <v>11</v>
      </c>
      <c r="B91" s="279"/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286">
        <f t="shared" si="46"/>
        <v>0</v>
      </c>
      <c r="P91" s="227">
        <v>0</v>
      </c>
    </row>
    <row r="92" spans="1:16" ht="15">
      <c r="A92" s="13" t="s">
        <v>12</v>
      </c>
      <c r="B92" s="288">
        <v>1714680</v>
      </c>
      <c r="C92" s="8">
        <f aca="true" t="shared" si="47" ref="C92:N92">ROUND(((+$B$92*$B$52)+$B$92)/12,-3)</f>
        <v>153000</v>
      </c>
      <c r="D92" s="8">
        <f t="shared" si="47"/>
        <v>153000</v>
      </c>
      <c r="E92" s="8">
        <f t="shared" si="47"/>
        <v>153000</v>
      </c>
      <c r="F92" s="8">
        <f t="shared" si="47"/>
        <v>153000</v>
      </c>
      <c r="G92" s="8">
        <f t="shared" si="47"/>
        <v>153000</v>
      </c>
      <c r="H92" s="8">
        <f t="shared" si="47"/>
        <v>153000</v>
      </c>
      <c r="I92" s="8">
        <f t="shared" si="47"/>
        <v>153000</v>
      </c>
      <c r="J92" s="8">
        <f t="shared" si="47"/>
        <v>153000</v>
      </c>
      <c r="K92" s="8">
        <f t="shared" si="47"/>
        <v>153000</v>
      </c>
      <c r="L92" s="8">
        <f t="shared" si="47"/>
        <v>153000</v>
      </c>
      <c r="M92" s="8">
        <f t="shared" si="47"/>
        <v>153000</v>
      </c>
      <c r="N92" s="8">
        <f t="shared" si="47"/>
        <v>153000</v>
      </c>
      <c r="O92" s="286">
        <f t="shared" si="46"/>
        <v>1836000</v>
      </c>
      <c r="P92" s="227">
        <f t="shared" si="37"/>
        <v>0.07075372664287213</v>
      </c>
    </row>
    <row r="93" spans="1:16" ht="15">
      <c r="A93" s="13" t="s">
        <v>552</v>
      </c>
      <c r="B93" s="279">
        <v>2215138</v>
      </c>
      <c r="C93" s="8">
        <f aca="true" t="shared" si="48" ref="C93:N93">ROUND(((+$B$93*$B$52)+$B$93)/12,-3)</f>
        <v>198000</v>
      </c>
      <c r="D93" s="8">
        <f t="shared" si="48"/>
        <v>198000</v>
      </c>
      <c r="E93" s="8">
        <f t="shared" si="48"/>
        <v>198000</v>
      </c>
      <c r="F93" s="8">
        <f t="shared" si="48"/>
        <v>198000</v>
      </c>
      <c r="G93" s="8">
        <f t="shared" si="48"/>
        <v>198000</v>
      </c>
      <c r="H93" s="8">
        <f t="shared" si="48"/>
        <v>198000</v>
      </c>
      <c r="I93" s="8">
        <f t="shared" si="48"/>
        <v>198000</v>
      </c>
      <c r="J93" s="8">
        <f t="shared" si="48"/>
        <v>198000</v>
      </c>
      <c r="K93" s="8">
        <f t="shared" si="48"/>
        <v>198000</v>
      </c>
      <c r="L93" s="8">
        <f t="shared" si="48"/>
        <v>198000</v>
      </c>
      <c r="M93" s="8">
        <f t="shared" si="48"/>
        <v>198000</v>
      </c>
      <c r="N93" s="8">
        <f t="shared" si="48"/>
        <v>198000</v>
      </c>
      <c r="O93" s="286">
        <f t="shared" si="46"/>
        <v>2376000</v>
      </c>
      <c r="P93" s="227">
        <f t="shared" si="37"/>
        <v>0.07261940339608638</v>
      </c>
    </row>
    <row r="94" spans="1:16" s="6" customFormat="1" ht="15">
      <c r="A94" s="18" t="s">
        <v>119</v>
      </c>
      <c r="B94" s="278">
        <f aca="true" t="shared" si="49" ref="B94:O94">+B95+B98</f>
        <v>12266493</v>
      </c>
      <c r="C94" s="10">
        <f t="shared" si="49"/>
        <v>252000</v>
      </c>
      <c r="D94" s="10">
        <f t="shared" si="49"/>
        <v>252000</v>
      </c>
      <c r="E94" s="10">
        <f t="shared" si="49"/>
        <v>3643059.90443427</v>
      </c>
      <c r="F94" s="10">
        <f t="shared" si="49"/>
        <v>252000</v>
      </c>
      <c r="G94" s="10">
        <f t="shared" si="49"/>
        <v>252000</v>
      </c>
      <c r="H94" s="10">
        <f t="shared" si="49"/>
        <v>3643059.90443427</v>
      </c>
      <c r="I94" s="10">
        <f t="shared" si="49"/>
        <v>252000</v>
      </c>
      <c r="J94" s="10">
        <f t="shared" si="49"/>
        <v>252000</v>
      </c>
      <c r="K94" s="10">
        <f t="shared" si="49"/>
        <v>3643059.90443427</v>
      </c>
      <c r="L94" s="10">
        <f t="shared" si="49"/>
        <v>252000</v>
      </c>
      <c r="M94" s="10">
        <f t="shared" si="49"/>
        <v>252000</v>
      </c>
      <c r="N94" s="10">
        <f t="shared" si="49"/>
        <v>252000</v>
      </c>
      <c r="O94" s="278">
        <f t="shared" si="49"/>
        <v>13197179.713302812</v>
      </c>
      <c r="P94" s="227">
        <f t="shared" si="37"/>
        <v>0.07587227362399437</v>
      </c>
    </row>
    <row r="95" spans="1:16" s="6" customFormat="1" ht="15">
      <c r="A95" s="18" t="s">
        <v>120</v>
      </c>
      <c r="B95" s="278">
        <f aca="true" t="shared" si="50" ref="B95:O95">SUM(B96:B97)</f>
        <v>9444429</v>
      </c>
      <c r="C95" s="10">
        <f t="shared" si="50"/>
        <v>0</v>
      </c>
      <c r="D95" s="10">
        <f t="shared" si="50"/>
        <v>0</v>
      </c>
      <c r="E95" s="10">
        <f t="shared" si="50"/>
        <v>3391059.90443427</v>
      </c>
      <c r="F95" s="10">
        <f t="shared" si="50"/>
        <v>0</v>
      </c>
      <c r="G95" s="10">
        <f t="shared" si="50"/>
        <v>0</v>
      </c>
      <c r="H95" s="10">
        <f t="shared" si="50"/>
        <v>3391059.90443427</v>
      </c>
      <c r="I95" s="10">
        <f t="shared" si="50"/>
        <v>0</v>
      </c>
      <c r="J95" s="10">
        <f t="shared" si="50"/>
        <v>0</v>
      </c>
      <c r="K95" s="10">
        <f t="shared" si="50"/>
        <v>3391059.90443427</v>
      </c>
      <c r="L95" s="10">
        <f t="shared" si="50"/>
        <v>0</v>
      </c>
      <c r="M95" s="10">
        <f t="shared" si="50"/>
        <v>0</v>
      </c>
      <c r="N95" s="10">
        <f t="shared" si="50"/>
        <v>0</v>
      </c>
      <c r="O95" s="278">
        <f t="shared" si="50"/>
        <v>10173179.713302812</v>
      </c>
      <c r="P95" s="227">
        <f t="shared" si="37"/>
        <v>0.0771619664145722</v>
      </c>
    </row>
    <row r="96" spans="1:16" ht="15">
      <c r="A96" s="13" t="s">
        <v>122</v>
      </c>
      <c r="B96" s="279">
        <v>3644499</v>
      </c>
      <c r="C96" s="8"/>
      <c r="D96" s="7"/>
      <c r="E96" s="8">
        <f>(+$O$7*1%)/3</f>
        <v>1322059.9044342705</v>
      </c>
      <c r="F96" s="7"/>
      <c r="G96" s="7"/>
      <c r="H96" s="8">
        <f>(+$O$7*1%)/3</f>
        <v>1322059.9044342705</v>
      </c>
      <c r="I96" s="7"/>
      <c r="J96" s="7"/>
      <c r="K96" s="8">
        <f>(+$O$7*1%)/3</f>
        <v>1322059.9044342705</v>
      </c>
      <c r="L96" s="7"/>
      <c r="M96" s="7"/>
      <c r="N96" s="7"/>
      <c r="O96" s="286">
        <f aca="true" t="shared" si="51" ref="O96:O101">SUM(C96:N96)</f>
        <v>3966179.7133028116</v>
      </c>
      <c r="P96" s="227">
        <f t="shared" si="37"/>
        <v>0.08826472810194531</v>
      </c>
    </row>
    <row r="97" spans="1:16" ht="15">
      <c r="A97" s="13" t="s">
        <v>134</v>
      </c>
      <c r="B97" s="279">
        <v>5799930</v>
      </c>
      <c r="C97" s="8"/>
      <c r="D97" s="7"/>
      <c r="E97" s="8">
        <f>ROUND(((+$B$97*$B$52)+$B$97)/3,-3)</f>
        <v>2069000</v>
      </c>
      <c r="F97" s="7"/>
      <c r="G97" s="8"/>
      <c r="H97" s="8">
        <f>ROUND(((+$B$97*$B$52)+$B$97)/3,-3)</f>
        <v>2069000</v>
      </c>
      <c r="I97" s="7"/>
      <c r="J97" s="8"/>
      <c r="K97" s="8">
        <f>ROUND(((+$B$97*$B$52)+$B$97)/3,-3)</f>
        <v>2069000</v>
      </c>
      <c r="L97" s="7"/>
      <c r="M97" s="7"/>
      <c r="N97" s="8"/>
      <c r="O97" s="286">
        <f t="shared" si="51"/>
        <v>6207000</v>
      </c>
      <c r="P97" s="227">
        <f t="shared" si="37"/>
        <v>0.07018532982294613</v>
      </c>
    </row>
    <row r="98" spans="1:16" s="6" customFormat="1" ht="15">
      <c r="A98" s="18" t="s">
        <v>121</v>
      </c>
      <c r="B98" s="278">
        <f aca="true" t="shared" si="52" ref="B98:O98">SUM(B99:B101)</f>
        <v>2822064</v>
      </c>
      <c r="C98" s="10">
        <f t="shared" si="52"/>
        <v>252000</v>
      </c>
      <c r="D98" s="10">
        <f t="shared" si="52"/>
        <v>252000</v>
      </c>
      <c r="E98" s="10">
        <f t="shared" si="52"/>
        <v>252000</v>
      </c>
      <c r="F98" s="10">
        <f t="shared" si="52"/>
        <v>252000</v>
      </c>
      <c r="G98" s="10">
        <f t="shared" si="52"/>
        <v>252000</v>
      </c>
      <c r="H98" s="10">
        <f t="shared" si="52"/>
        <v>252000</v>
      </c>
      <c r="I98" s="10">
        <f t="shared" si="52"/>
        <v>252000</v>
      </c>
      <c r="J98" s="10">
        <f t="shared" si="52"/>
        <v>252000</v>
      </c>
      <c r="K98" s="10">
        <f t="shared" si="52"/>
        <v>252000</v>
      </c>
      <c r="L98" s="10">
        <f t="shared" si="52"/>
        <v>252000</v>
      </c>
      <c r="M98" s="10">
        <f t="shared" si="52"/>
        <v>252000</v>
      </c>
      <c r="N98" s="10">
        <f t="shared" si="52"/>
        <v>252000</v>
      </c>
      <c r="O98" s="278">
        <f t="shared" si="52"/>
        <v>3024000</v>
      </c>
      <c r="P98" s="227">
        <f t="shared" si="37"/>
        <v>0.0715561376354328</v>
      </c>
    </row>
    <row r="99" spans="1:16" ht="15">
      <c r="A99" s="13" t="s">
        <v>135</v>
      </c>
      <c r="B99" s="279">
        <v>1862064</v>
      </c>
      <c r="C99" s="8">
        <f aca="true" t="shared" si="53" ref="C99:N99">ROUND((((+$B$99*$B$52)+$B$99))/12,-3)</f>
        <v>166000</v>
      </c>
      <c r="D99" s="8">
        <f t="shared" si="53"/>
        <v>166000</v>
      </c>
      <c r="E99" s="8">
        <f t="shared" si="53"/>
        <v>166000</v>
      </c>
      <c r="F99" s="8">
        <f t="shared" si="53"/>
        <v>166000</v>
      </c>
      <c r="G99" s="8">
        <f t="shared" si="53"/>
        <v>166000</v>
      </c>
      <c r="H99" s="8">
        <f t="shared" si="53"/>
        <v>166000</v>
      </c>
      <c r="I99" s="8">
        <f t="shared" si="53"/>
        <v>166000</v>
      </c>
      <c r="J99" s="8">
        <f t="shared" si="53"/>
        <v>166000</v>
      </c>
      <c r="K99" s="8">
        <f t="shared" si="53"/>
        <v>166000</v>
      </c>
      <c r="L99" s="8">
        <f t="shared" si="53"/>
        <v>166000</v>
      </c>
      <c r="M99" s="8">
        <f t="shared" si="53"/>
        <v>166000</v>
      </c>
      <c r="N99" s="8">
        <f t="shared" si="53"/>
        <v>166000</v>
      </c>
      <c r="O99" s="286">
        <f t="shared" si="51"/>
        <v>1992000</v>
      </c>
      <c r="P99" s="227">
        <f t="shared" si="37"/>
        <v>0.06978063052612585</v>
      </c>
    </row>
    <row r="100" spans="1:16" ht="15">
      <c r="A100" s="13" t="s">
        <v>314</v>
      </c>
      <c r="B100" s="279">
        <v>0</v>
      </c>
      <c r="C100" s="8">
        <f aca="true" t="shared" si="54" ref="C100:N100">ROUND((((+$B$100*$B$52)+$B$100))/12,-3)</f>
        <v>0</v>
      </c>
      <c r="D100" s="8">
        <f t="shared" si="54"/>
        <v>0</v>
      </c>
      <c r="E100" s="8">
        <f t="shared" si="54"/>
        <v>0</v>
      </c>
      <c r="F100" s="8">
        <f t="shared" si="54"/>
        <v>0</v>
      </c>
      <c r="G100" s="8">
        <f t="shared" si="54"/>
        <v>0</v>
      </c>
      <c r="H100" s="8">
        <f t="shared" si="54"/>
        <v>0</v>
      </c>
      <c r="I100" s="8">
        <f t="shared" si="54"/>
        <v>0</v>
      </c>
      <c r="J100" s="8">
        <f t="shared" si="54"/>
        <v>0</v>
      </c>
      <c r="K100" s="8">
        <f t="shared" si="54"/>
        <v>0</v>
      </c>
      <c r="L100" s="8">
        <f t="shared" si="54"/>
        <v>0</v>
      </c>
      <c r="M100" s="8">
        <f t="shared" si="54"/>
        <v>0</v>
      </c>
      <c r="N100" s="8">
        <f t="shared" si="54"/>
        <v>0</v>
      </c>
      <c r="O100" s="286">
        <f t="shared" si="51"/>
        <v>0</v>
      </c>
      <c r="P100" s="227">
        <v>1</v>
      </c>
    </row>
    <row r="101" spans="1:16" ht="15">
      <c r="A101" s="13" t="s">
        <v>136</v>
      </c>
      <c r="B101" s="279">
        <v>960000</v>
      </c>
      <c r="C101" s="8">
        <f aca="true" t="shared" si="55" ref="C101:N101">ROUND((((+$B$101*$B$52)+$B$101))/12,-3)</f>
        <v>86000</v>
      </c>
      <c r="D101" s="8">
        <f t="shared" si="55"/>
        <v>86000</v>
      </c>
      <c r="E101" s="8">
        <f t="shared" si="55"/>
        <v>86000</v>
      </c>
      <c r="F101" s="8">
        <f t="shared" si="55"/>
        <v>86000</v>
      </c>
      <c r="G101" s="8">
        <f t="shared" si="55"/>
        <v>86000</v>
      </c>
      <c r="H101" s="8">
        <f t="shared" si="55"/>
        <v>86000</v>
      </c>
      <c r="I101" s="8">
        <f t="shared" si="55"/>
        <v>86000</v>
      </c>
      <c r="J101" s="8">
        <f t="shared" si="55"/>
        <v>86000</v>
      </c>
      <c r="K101" s="8">
        <f t="shared" si="55"/>
        <v>86000</v>
      </c>
      <c r="L101" s="8">
        <f t="shared" si="55"/>
        <v>86000</v>
      </c>
      <c r="M101" s="8">
        <f t="shared" si="55"/>
        <v>86000</v>
      </c>
      <c r="N101" s="8">
        <f t="shared" si="55"/>
        <v>86000</v>
      </c>
      <c r="O101" s="286">
        <f t="shared" si="51"/>
        <v>1032000</v>
      </c>
      <c r="P101" s="227">
        <f t="shared" si="37"/>
        <v>0.075</v>
      </c>
    </row>
    <row r="102" spans="1:16" s="6" customFormat="1" ht="15">
      <c r="A102" s="18" t="s">
        <v>13</v>
      </c>
      <c r="B102" s="278">
        <f aca="true" t="shared" si="56" ref="B102:O102">SUM(B103:B110)</f>
        <v>2841358</v>
      </c>
      <c r="C102" s="10">
        <f t="shared" si="56"/>
        <v>2420000</v>
      </c>
      <c r="D102" s="10">
        <f t="shared" si="56"/>
        <v>56000</v>
      </c>
      <c r="E102" s="10">
        <f t="shared" si="56"/>
        <v>56000</v>
      </c>
      <c r="F102" s="10">
        <f t="shared" si="56"/>
        <v>56000</v>
      </c>
      <c r="G102" s="10">
        <f t="shared" si="56"/>
        <v>56000</v>
      </c>
      <c r="H102" s="10">
        <f t="shared" si="56"/>
        <v>56000</v>
      </c>
      <c r="I102" s="10">
        <f t="shared" si="56"/>
        <v>56000</v>
      </c>
      <c r="J102" s="10">
        <f t="shared" si="56"/>
        <v>56000</v>
      </c>
      <c r="K102" s="10">
        <f t="shared" si="56"/>
        <v>56000</v>
      </c>
      <c r="L102" s="10">
        <f t="shared" si="56"/>
        <v>56000</v>
      </c>
      <c r="M102" s="10">
        <f t="shared" si="56"/>
        <v>56000</v>
      </c>
      <c r="N102" s="10">
        <f t="shared" si="56"/>
        <v>56000</v>
      </c>
      <c r="O102" s="278">
        <f t="shared" si="56"/>
        <v>3036000</v>
      </c>
      <c r="P102" s="227">
        <f t="shared" si="37"/>
        <v>0.0685031594047635</v>
      </c>
    </row>
    <row r="103" spans="1:16" ht="15">
      <c r="A103" s="13" t="s">
        <v>14</v>
      </c>
      <c r="B103" s="279">
        <v>144000</v>
      </c>
      <c r="C103" s="8">
        <f>ROUND((((+$B$103*$B$52)+$B$103)),-3)</f>
        <v>154000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286">
        <f aca="true" t="shared" si="57" ref="O103:O110">SUM(C103:N103)</f>
        <v>154000</v>
      </c>
      <c r="P103" s="227">
        <f t="shared" si="37"/>
        <v>0.06944444444444445</v>
      </c>
    </row>
    <row r="104" spans="1:16" ht="15">
      <c r="A104" s="13" t="s">
        <v>16</v>
      </c>
      <c r="B104" s="279">
        <v>0</v>
      </c>
      <c r="C104" s="8">
        <f>ROUND((((+$B$104*$B$52)+$B$104)),-3)</f>
        <v>0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286">
        <f t="shared" si="57"/>
        <v>0</v>
      </c>
      <c r="P104" s="227">
        <v>0</v>
      </c>
    </row>
    <row r="105" spans="1:16" ht="15">
      <c r="A105" s="13" t="s">
        <v>17</v>
      </c>
      <c r="B105" s="279">
        <v>763294</v>
      </c>
      <c r="C105" s="8">
        <f>ROUND((((+$B$105*$B$52)+$B$105)),-3)</f>
        <v>817000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286">
        <f t="shared" si="57"/>
        <v>817000</v>
      </c>
      <c r="P105" s="227">
        <f t="shared" si="37"/>
        <v>0.07036083082010339</v>
      </c>
    </row>
    <row r="106" spans="1:16" ht="15">
      <c r="A106" s="13" t="s">
        <v>248</v>
      </c>
      <c r="B106" s="279">
        <v>1112305</v>
      </c>
      <c r="C106" s="8">
        <f>ROUND((((+$B$106*$B$52)+$B$106)),-3)</f>
        <v>1190000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286">
        <f t="shared" si="57"/>
        <v>1190000</v>
      </c>
      <c r="P106" s="227">
        <f t="shared" si="37"/>
        <v>0.06985044569609954</v>
      </c>
    </row>
    <row r="107" spans="1:16" ht="15">
      <c r="A107" s="13" t="s">
        <v>18</v>
      </c>
      <c r="B107" s="279">
        <v>4145</v>
      </c>
      <c r="C107" s="8">
        <f>ROUND((((+$B$107*$B$52)+$B$107)),-3)</f>
        <v>4000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286">
        <f t="shared" si="57"/>
        <v>4000</v>
      </c>
      <c r="P107" s="227">
        <v>0</v>
      </c>
    </row>
    <row r="108" spans="1:16" ht="15">
      <c r="A108" s="13" t="s">
        <v>19</v>
      </c>
      <c r="B108" s="279">
        <v>85500</v>
      </c>
      <c r="C108" s="8">
        <f>ROUND((((+$B$108*$B$52)+$B$108)),-3)</f>
        <v>91000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286">
        <f t="shared" si="57"/>
        <v>91000</v>
      </c>
      <c r="P108" s="227">
        <f t="shared" si="37"/>
        <v>0.06432748538011696</v>
      </c>
    </row>
    <row r="109" spans="1:16" ht="15">
      <c r="A109" s="13" t="s">
        <v>230</v>
      </c>
      <c r="B109" s="279">
        <v>101119</v>
      </c>
      <c r="C109" s="8">
        <f>ROUND((((+$B$109*$B$52)+$B$109)),-3)</f>
        <v>108000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286">
        <f t="shared" si="57"/>
        <v>108000</v>
      </c>
      <c r="P109" s="227">
        <f t="shared" si="37"/>
        <v>0.06804853687239787</v>
      </c>
    </row>
    <row r="110" spans="1:16" ht="15">
      <c r="A110" s="13" t="s">
        <v>20</v>
      </c>
      <c r="B110" s="279">
        <v>630995</v>
      </c>
      <c r="C110" s="8">
        <f aca="true" t="shared" si="58" ref="C110:N110">(ROUND(((((+$B$110*$B$52)+$B$110)/12)),-3))</f>
        <v>56000</v>
      </c>
      <c r="D110" s="8">
        <f t="shared" si="58"/>
        <v>56000</v>
      </c>
      <c r="E110" s="8">
        <f t="shared" si="58"/>
        <v>56000</v>
      </c>
      <c r="F110" s="8">
        <f t="shared" si="58"/>
        <v>56000</v>
      </c>
      <c r="G110" s="8">
        <f t="shared" si="58"/>
        <v>56000</v>
      </c>
      <c r="H110" s="8">
        <f t="shared" si="58"/>
        <v>56000</v>
      </c>
      <c r="I110" s="8">
        <f t="shared" si="58"/>
        <v>56000</v>
      </c>
      <c r="J110" s="8">
        <f t="shared" si="58"/>
        <v>56000</v>
      </c>
      <c r="K110" s="8">
        <f t="shared" si="58"/>
        <v>56000</v>
      </c>
      <c r="L110" s="8">
        <f t="shared" si="58"/>
        <v>56000</v>
      </c>
      <c r="M110" s="8">
        <f t="shared" si="58"/>
        <v>56000</v>
      </c>
      <c r="N110" s="8">
        <f t="shared" si="58"/>
        <v>56000</v>
      </c>
      <c r="O110" s="286">
        <f t="shared" si="57"/>
        <v>672000</v>
      </c>
      <c r="P110" s="227">
        <f t="shared" si="37"/>
        <v>0.06498466707343165</v>
      </c>
    </row>
    <row r="111" spans="1:16" ht="15">
      <c r="A111" s="18" t="s">
        <v>22</v>
      </c>
      <c r="B111" s="278">
        <f aca="true" t="shared" si="59" ref="B111:O111">+B112+B122+B123+B126+B128+B131+B140+B141+B147</f>
        <v>51578240</v>
      </c>
      <c r="C111" s="10">
        <f t="shared" si="59"/>
        <v>2894720</v>
      </c>
      <c r="D111" s="10">
        <f t="shared" si="59"/>
        <v>3459420</v>
      </c>
      <c r="E111" s="10">
        <f t="shared" si="59"/>
        <v>2934420</v>
      </c>
      <c r="F111" s="10">
        <f t="shared" si="59"/>
        <v>4912420</v>
      </c>
      <c r="G111" s="10">
        <f t="shared" si="59"/>
        <v>12257420</v>
      </c>
      <c r="H111" s="10">
        <f t="shared" si="59"/>
        <v>2818420</v>
      </c>
      <c r="I111" s="10">
        <f t="shared" si="59"/>
        <v>3125420</v>
      </c>
      <c r="J111" s="10">
        <f t="shared" si="59"/>
        <v>3230420</v>
      </c>
      <c r="K111" s="10">
        <f t="shared" si="59"/>
        <v>3811420</v>
      </c>
      <c r="L111" s="10">
        <f t="shared" si="59"/>
        <v>3818420</v>
      </c>
      <c r="M111" s="10">
        <f t="shared" si="59"/>
        <v>11389420</v>
      </c>
      <c r="N111" s="10">
        <f t="shared" si="59"/>
        <v>2151420</v>
      </c>
      <c r="O111" s="278">
        <f t="shared" si="59"/>
        <v>56803340</v>
      </c>
      <c r="P111" s="227">
        <f t="shared" si="37"/>
        <v>0.1013043485004529</v>
      </c>
    </row>
    <row r="112" spans="1:16" s="6" customFormat="1" ht="15">
      <c r="A112" s="18" t="s">
        <v>23</v>
      </c>
      <c r="B112" s="278">
        <f aca="true" t="shared" si="60" ref="B112">SUM(B113:B121)</f>
        <v>17136248</v>
      </c>
      <c r="C112" s="10">
        <f aca="true" t="shared" si="61" ref="C112:O112">SUM(C113:C121)</f>
        <v>1287420</v>
      </c>
      <c r="D112" s="10">
        <f t="shared" si="61"/>
        <v>1913420</v>
      </c>
      <c r="E112" s="10">
        <f t="shared" si="61"/>
        <v>1287420</v>
      </c>
      <c r="F112" s="10">
        <f t="shared" si="61"/>
        <v>1913420</v>
      </c>
      <c r="G112" s="10">
        <f t="shared" si="61"/>
        <v>1287420</v>
      </c>
      <c r="H112" s="10">
        <f t="shared" si="61"/>
        <v>1324420</v>
      </c>
      <c r="I112" s="10">
        <f t="shared" si="61"/>
        <v>1287420</v>
      </c>
      <c r="J112" s="10">
        <f t="shared" si="61"/>
        <v>1913420</v>
      </c>
      <c r="K112" s="10">
        <f t="shared" si="61"/>
        <v>1587420</v>
      </c>
      <c r="L112" s="10">
        <f t="shared" si="61"/>
        <v>1913420</v>
      </c>
      <c r="M112" s="10">
        <f t="shared" si="61"/>
        <v>1287420</v>
      </c>
      <c r="N112" s="10">
        <f t="shared" si="61"/>
        <v>1324420</v>
      </c>
      <c r="O112" s="278">
        <f t="shared" si="61"/>
        <v>18327040</v>
      </c>
      <c r="P112" s="227">
        <f t="shared" si="37"/>
        <v>0.06948965724585686</v>
      </c>
    </row>
    <row r="113" spans="1:16" ht="15">
      <c r="A113" s="13" t="s">
        <v>30</v>
      </c>
      <c r="B113" s="279">
        <v>72000</v>
      </c>
      <c r="C113" s="8">
        <v>6420</v>
      </c>
      <c r="D113" s="8">
        <v>6420</v>
      </c>
      <c r="E113" s="8">
        <v>6420</v>
      </c>
      <c r="F113" s="8">
        <v>6420</v>
      </c>
      <c r="G113" s="8">
        <v>6420</v>
      </c>
      <c r="H113" s="8">
        <v>6420</v>
      </c>
      <c r="I113" s="8">
        <v>6420</v>
      </c>
      <c r="J113" s="8">
        <v>6420</v>
      </c>
      <c r="K113" s="8">
        <v>6420</v>
      </c>
      <c r="L113" s="8">
        <v>6420</v>
      </c>
      <c r="M113" s="8">
        <v>6420</v>
      </c>
      <c r="N113" s="8">
        <v>6420</v>
      </c>
      <c r="O113" s="285">
        <f aca="true" t="shared" si="62" ref="O113">SUM(C113:N113)</f>
        <v>77040</v>
      </c>
      <c r="P113" s="227">
        <f t="shared" si="37"/>
        <v>0.07</v>
      </c>
    </row>
    <row r="114" spans="1:16" ht="15">
      <c r="A114" s="13" t="s">
        <v>36</v>
      </c>
      <c r="B114" s="279">
        <v>380000</v>
      </c>
      <c r="C114" s="8">
        <f aca="true" t="shared" si="63" ref="C114:N114">ROUND(((+$B$114*$B$52)+$B$114)/12,-3)</f>
        <v>34000</v>
      </c>
      <c r="D114" s="8">
        <f t="shared" si="63"/>
        <v>34000</v>
      </c>
      <c r="E114" s="8">
        <f t="shared" si="63"/>
        <v>34000</v>
      </c>
      <c r="F114" s="8">
        <f t="shared" si="63"/>
        <v>34000</v>
      </c>
      <c r="G114" s="8">
        <f t="shared" si="63"/>
        <v>34000</v>
      </c>
      <c r="H114" s="8">
        <f t="shared" si="63"/>
        <v>34000</v>
      </c>
      <c r="I114" s="8">
        <f t="shared" si="63"/>
        <v>34000</v>
      </c>
      <c r="J114" s="8">
        <f t="shared" si="63"/>
        <v>34000</v>
      </c>
      <c r="K114" s="8">
        <f t="shared" si="63"/>
        <v>34000</v>
      </c>
      <c r="L114" s="8">
        <f t="shared" si="63"/>
        <v>34000</v>
      </c>
      <c r="M114" s="8">
        <f t="shared" si="63"/>
        <v>34000</v>
      </c>
      <c r="N114" s="8">
        <f t="shared" si="63"/>
        <v>34000</v>
      </c>
      <c r="O114" s="362">
        <f aca="true" t="shared" si="64" ref="O114:O146">SUM(C114:N114)</f>
        <v>408000</v>
      </c>
      <c r="P114" s="227">
        <f t="shared" si="37"/>
        <v>0.07368421052631578</v>
      </c>
    </row>
    <row r="115" spans="1:16" ht="15">
      <c r="A115" s="13" t="s">
        <v>442</v>
      </c>
      <c r="B115" s="279">
        <f>10154000-280000</f>
        <v>9874000</v>
      </c>
      <c r="C115" s="8">
        <f aca="true" t="shared" si="65" ref="C115:N115">ROUND(((+$B$115*$B$52)+$B$115)/12,-3)</f>
        <v>880000</v>
      </c>
      <c r="D115" s="8">
        <f t="shared" si="65"/>
        <v>880000</v>
      </c>
      <c r="E115" s="8">
        <f t="shared" si="65"/>
        <v>880000</v>
      </c>
      <c r="F115" s="8">
        <f t="shared" si="65"/>
        <v>880000</v>
      </c>
      <c r="G115" s="8">
        <f t="shared" si="65"/>
        <v>880000</v>
      </c>
      <c r="H115" s="8">
        <f t="shared" si="65"/>
        <v>880000</v>
      </c>
      <c r="I115" s="8">
        <f t="shared" si="65"/>
        <v>880000</v>
      </c>
      <c r="J115" s="8">
        <f t="shared" si="65"/>
        <v>880000</v>
      </c>
      <c r="K115" s="8">
        <f t="shared" si="65"/>
        <v>880000</v>
      </c>
      <c r="L115" s="8">
        <f t="shared" si="65"/>
        <v>880000</v>
      </c>
      <c r="M115" s="8">
        <f t="shared" si="65"/>
        <v>880000</v>
      </c>
      <c r="N115" s="8">
        <f t="shared" si="65"/>
        <v>880000</v>
      </c>
      <c r="O115" s="362">
        <f t="shared" si="64"/>
        <v>10560000</v>
      </c>
      <c r="P115" s="227">
        <f t="shared" si="37"/>
        <v>0.06947538991290257</v>
      </c>
    </row>
    <row r="116" spans="1:16" ht="14.5">
      <c r="A116" s="13" t="s">
        <v>441</v>
      </c>
      <c r="B116" s="279">
        <v>280000</v>
      </c>
      <c r="C116" s="73"/>
      <c r="D116" s="73"/>
      <c r="E116" s="73"/>
      <c r="F116" s="73"/>
      <c r="G116" s="73"/>
      <c r="H116" s="73"/>
      <c r="I116" s="73"/>
      <c r="J116" s="73"/>
      <c r="K116" s="8">
        <f>ROUND(((+$B$116*$B$52)+$B$116),-3)</f>
        <v>300000</v>
      </c>
      <c r="L116" s="73"/>
      <c r="M116" s="73"/>
      <c r="N116" s="73"/>
      <c r="O116" s="362">
        <f t="shared" si="64"/>
        <v>300000</v>
      </c>
      <c r="P116" s="227">
        <f t="shared" si="37"/>
        <v>0.07142857142857142</v>
      </c>
    </row>
    <row r="117" spans="1:16" ht="15">
      <c r="A117" s="13" t="s">
        <v>31</v>
      </c>
      <c r="B117" s="279">
        <v>3538000</v>
      </c>
      <c r="C117" s="8">
        <f aca="true" t="shared" si="66" ref="C117:N117">ROUND(((+$B$117*$B$52)+$B$117)/12,-3)</f>
        <v>315000</v>
      </c>
      <c r="D117" s="8">
        <f t="shared" si="66"/>
        <v>315000</v>
      </c>
      <c r="E117" s="8">
        <f t="shared" si="66"/>
        <v>315000</v>
      </c>
      <c r="F117" s="8">
        <f t="shared" si="66"/>
        <v>315000</v>
      </c>
      <c r="G117" s="8">
        <f t="shared" si="66"/>
        <v>315000</v>
      </c>
      <c r="H117" s="8">
        <f t="shared" si="66"/>
        <v>315000</v>
      </c>
      <c r="I117" s="8">
        <f t="shared" si="66"/>
        <v>315000</v>
      </c>
      <c r="J117" s="8">
        <f t="shared" si="66"/>
        <v>315000</v>
      </c>
      <c r="K117" s="8">
        <f t="shared" si="66"/>
        <v>315000</v>
      </c>
      <c r="L117" s="8">
        <f t="shared" si="66"/>
        <v>315000</v>
      </c>
      <c r="M117" s="8">
        <f t="shared" si="66"/>
        <v>315000</v>
      </c>
      <c r="N117" s="8">
        <f t="shared" si="66"/>
        <v>315000</v>
      </c>
      <c r="O117" s="286">
        <f t="shared" si="64"/>
        <v>3780000</v>
      </c>
      <c r="P117" s="227">
        <f t="shared" si="37"/>
        <v>0.06840022611644997</v>
      </c>
    </row>
    <row r="118" spans="1:16" ht="15">
      <c r="A118" s="13" t="s">
        <v>32</v>
      </c>
      <c r="B118" s="279">
        <v>232248</v>
      </c>
      <c r="C118" s="8">
        <f aca="true" t="shared" si="67" ref="C118:N118">ROUND(((+$B$118*$B$52)+$B$118)/12,-3)</f>
        <v>21000</v>
      </c>
      <c r="D118" s="8">
        <f t="shared" si="67"/>
        <v>21000</v>
      </c>
      <c r="E118" s="8">
        <f t="shared" si="67"/>
        <v>21000</v>
      </c>
      <c r="F118" s="8">
        <f t="shared" si="67"/>
        <v>21000</v>
      </c>
      <c r="G118" s="8">
        <f t="shared" si="67"/>
        <v>21000</v>
      </c>
      <c r="H118" s="8">
        <f t="shared" si="67"/>
        <v>21000</v>
      </c>
      <c r="I118" s="8">
        <f t="shared" si="67"/>
        <v>21000</v>
      </c>
      <c r="J118" s="8">
        <f t="shared" si="67"/>
        <v>21000</v>
      </c>
      <c r="K118" s="8">
        <f t="shared" si="67"/>
        <v>21000</v>
      </c>
      <c r="L118" s="8">
        <f t="shared" si="67"/>
        <v>21000</v>
      </c>
      <c r="M118" s="8">
        <f t="shared" si="67"/>
        <v>21000</v>
      </c>
      <c r="N118" s="8">
        <f t="shared" si="67"/>
        <v>21000</v>
      </c>
      <c r="O118" s="286">
        <f t="shared" si="64"/>
        <v>252000</v>
      </c>
      <c r="P118" s="227">
        <f t="shared" si="37"/>
        <v>0.08504701870414384</v>
      </c>
    </row>
    <row r="119" spans="1:16" ht="15">
      <c r="A119" s="13" t="s">
        <v>315</v>
      </c>
      <c r="B119" s="279">
        <v>2200000</v>
      </c>
      <c r="C119" s="8"/>
      <c r="D119" s="8">
        <f>ROUND(((+$B$119*$B$52)+$B$119)/4,-3)</f>
        <v>589000</v>
      </c>
      <c r="E119" s="8"/>
      <c r="F119" s="8">
        <f>ROUND(((+$B$119*$B$52)+$B$119)/4,-3)</f>
        <v>589000</v>
      </c>
      <c r="G119" s="8"/>
      <c r="H119" s="8"/>
      <c r="I119" s="8"/>
      <c r="J119" s="8">
        <f>ROUND(((+$B$119*$B$52)+$B$119)/4,-3)</f>
        <v>589000</v>
      </c>
      <c r="K119" s="8"/>
      <c r="L119" s="8">
        <f>ROUND(((+$B$119*$B$52)+$B$119)/4,-3)</f>
        <v>589000</v>
      </c>
      <c r="M119" s="8"/>
      <c r="N119" s="8"/>
      <c r="O119" s="286">
        <f t="shared" si="64"/>
        <v>2356000</v>
      </c>
      <c r="P119" s="227">
        <f t="shared" si="37"/>
        <v>0.07090909090909091</v>
      </c>
    </row>
    <row r="120" spans="1:16" ht="15">
      <c r="A120" s="13" t="s">
        <v>262</v>
      </c>
      <c r="B120" s="279">
        <v>210000</v>
      </c>
      <c r="C120" s="8"/>
      <c r="D120" s="8">
        <f>ROUND(((+$B$120*$B$52)+$B$120)/6,-3)</f>
        <v>37000</v>
      </c>
      <c r="E120" s="8"/>
      <c r="F120" s="8">
        <f>ROUND(((+$B$120*$B$52)+$B$120)/6,-3)</f>
        <v>37000</v>
      </c>
      <c r="G120" s="8"/>
      <c r="H120" s="8">
        <f>ROUND(((+$B$120*$B$52)+$B$120)/6,-3)</f>
        <v>37000</v>
      </c>
      <c r="I120" s="8"/>
      <c r="J120" s="8">
        <f>ROUND(((+$B$120*$B$52)+$B$120)/6,-3)</f>
        <v>37000</v>
      </c>
      <c r="K120" s="8"/>
      <c r="L120" s="8">
        <f>ROUND(((+$B$120*$B$52)+$B$120)/6,-3)</f>
        <v>37000</v>
      </c>
      <c r="M120" s="8"/>
      <c r="N120" s="8">
        <f>ROUND(((+$B$120*$B$52)+$B$120)/6,-3)</f>
        <v>37000</v>
      </c>
      <c r="O120" s="362">
        <f t="shared" si="64"/>
        <v>222000</v>
      </c>
      <c r="P120" s="227">
        <f t="shared" si="37"/>
        <v>0.05714285714285714</v>
      </c>
    </row>
    <row r="121" spans="1:16" ht="15">
      <c r="A121" s="13" t="s">
        <v>261</v>
      </c>
      <c r="B121" s="279">
        <v>350000</v>
      </c>
      <c r="C121" s="8">
        <f aca="true" t="shared" si="68" ref="C121:N121">ROUND(((+$B$121*$B$52)+$B$121)/12,-3)</f>
        <v>31000</v>
      </c>
      <c r="D121" s="8">
        <f t="shared" si="68"/>
        <v>31000</v>
      </c>
      <c r="E121" s="8">
        <f t="shared" si="68"/>
        <v>31000</v>
      </c>
      <c r="F121" s="8">
        <f t="shared" si="68"/>
        <v>31000</v>
      </c>
      <c r="G121" s="8">
        <f t="shared" si="68"/>
        <v>31000</v>
      </c>
      <c r="H121" s="8">
        <f t="shared" si="68"/>
        <v>31000</v>
      </c>
      <c r="I121" s="8">
        <f t="shared" si="68"/>
        <v>31000</v>
      </c>
      <c r="J121" s="8">
        <f t="shared" si="68"/>
        <v>31000</v>
      </c>
      <c r="K121" s="8">
        <f t="shared" si="68"/>
        <v>31000</v>
      </c>
      <c r="L121" s="8">
        <f t="shared" si="68"/>
        <v>31000</v>
      </c>
      <c r="M121" s="8">
        <f t="shared" si="68"/>
        <v>31000</v>
      </c>
      <c r="N121" s="8">
        <f t="shared" si="68"/>
        <v>31000</v>
      </c>
      <c r="O121" s="286">
        <f t="shared" si="64"/>
        <v>372000</v>
      </c>
      <c r="P121" s="227">
        <f t="shared" si="37"/>
        <v>0.06285714285714286</v>
      </c>
    </row>
    <row r="122" spans="1:16" s="6" customFormat="1" ht="15">
      <c r="A122" s="18" t="s">
        <v>24</v>
      </c>
      <c r="B122" s="278">
        <v>0</v>
      </c>
      <c r="C122" s="10"/>
      <c r="D122" s="12"/>
      <c r="E122" s="12"/>
      <c r="F122" s="12"/>
      <c r="G122" s="10">
        <v>0</v>
      </c>
      <c r="H122" s="12"/>
      <c r="I122" s="12"/>
      <c r="J122" s="12"/>
      <c r="K122" s="12"/>
      <c r="L122" s="12"/>
      <c r="M122" s="12"/>
      <c r="N122" s="12"/>
      <c r="O122" s="286">
        <f t="shared" si="64"/>
        <v>0</v>
      </c>
      <c r="P122" s="227">
        <v>0</v>
      </c>
    </row>
    <row r="123" spans="1:16" s="6" customFormat="1" ht="15">
      <c r="A123" s="18" t="s">
        <v>25</v>
      </c>
      <c r="B123" s="278">
        <f aca="true" t="shared" si="69" ref="B123:O123">SUM(B124:B125)</f>
        <v>545000</v>
      </c>
      <c r="C123" s="10">
        <f>SUM(C124:C125)</f>
        <v>49000</v>
      </c>
      <c r="D123" s="10">
        <f t="shared" si="69"/>
        <v>49000</v>
      </c>
      <c r="E123" s="10">
        <f t="shared" si="69"/>
        <v>49000</v>
      </c>
      <c r="F123" s="10">
        <f t="shared" si="69"/>
        <v>49000</v>
      </c>
      <c r="G123" s="10">
        <f t="shared" si="69"/>
        <v>49000</v>
      </c>
      <c r="H123" s="10">
        <f t="shared" si="69"/>
        <v>49000</v>
      </c>
      <c r="I123" s="10">
        <f t="shared" si="69"/>
        <v>49000</v>
      </c>
      <c r="J123" s="10">
        <f t="shared" si="69"/>
        <v>49000</v>
      </c>
      <c r="K123" s="10">
        <f t="shared" si="69"/>
        <v>49000</v>
      </c>
      <c r="L123" s="10">
        <f t="shared" si="69"/>
        <v>49000</v>
      </c>
      <c r="M123" s="10">
        <f t="shared" si="69"/>
        <v>49000</v>
      </c>
      <c r="N123" s="10">
        <f t="shared" si="69"/>
        <v>49000</v>
      </c>
      <c r="O123" s="278">
        <f t="shared" si="69"/>
        <v>588000</v>
      </c>
      <c r="P123" s="227">
        <f t="shared" si="37"/>
        <v>0.07889908256880734</v>
      </c>
    </row>
    <row r="124" spans="1:16" ht="15">
      <c r="A124" s="13" t="s">
        <v>38</v>
      </c>
      <c r="B124" s="279">
        <v>545000</v>
      </c>
      <c r="C124" s="8">
        <f aca="true" t="shared" si="70" ref="C124:N124">ROUND(((+$B$124*$B$52)+$B$124)/12,-3)</f>
        <v>49000</v>
      </c>
      <c r="D124" s="8">
        <f t="shared" si="70"/>
        <v>49000</v>
      </c>
      <c r="E124" s="8">
        <f t="shared" si="70"/>
        <v>49000</v>
      </c>
      <c r="F124" s="8">
        <f t="shared" si="70"/>
        <v>49000</v>
      </c>
      <c r="G124" s="8">
        <f t="shared" si="70"/>
        <v>49000</v>
      </c>
      <c r="H124" s="8">
        <f t="shared" si="70"/>
        <v>49000</v>
      </c>
      <c r="I124" s="8">
        <f t="shared" si="70"/>
        <v>49000</v>
      </c>
      <c r="J124" s="8">
        <f t="shared" si="70"/>
        <v>49000</v>
      </c>
      <c r="K124" s="8">
        <f t="shared" si="70"/>
        <v>49000</v>
      </c>
      <c r="L124" s="8">
        <f t="shared" si="70"/>
        <v>49000</v>
      </c>
      <c r="M124" s="8">
        <f t="shared" si="70"/>
        <v>49000</v>
      </c>
      <c r="N124" s="8">
        <f t="shared" si="70"/>
        <v>49000</v>
      </c>
      <c r="O124" s="286">
        <f t="shared" si="64"/>
        <v>588000</v>
      </c>
      <c r="P124" s="227">
        <f t="shared" si="37"/>
        <v>0.07889908256880734</v>
      </c>
    </row>
    <row r="125" spans="1:16" ht="15">
      <c r="A125" s="13" t="s">
        <v>37</v>
      </c>
      <c r="B125" s="279">
        <v>0</v>
      </c>
      <c r="C125" s="8">
        <f aca="true" t="shared" si="71" ref="C125:N125">ROUND(((+$B$125*$B$52)+$B$125)/12,-3)</f>
        <v>0</v>
      </c>
      <c r="D125" s="8">
        <f t="shared" si="71"/>
        <v>0</v>
      </c>
      <c r="E125" s="8">
        <f t="shared" si="71"/>
        <v>0</v>
      </c>
      <c r="F125" s="8">
        <f t="shared" si="71"/>
        <v>0</v>
      </c>
      <c r="G125" s="8">
        <f t="shared" si="71"/>
        <v>0</v>
      </c>
      <c r="H125" s="8">
        <f t="shared" si="71"/>
        <v>0</v>
      </c>
      <c r="I125" s="8">
        <f t="shared" si="71"/>
        <v>0</v>
      </c>
      <c r="J125" s="8">
        <f t="shared" si="71"/>
        <v>0</v>
      </c>
      <c r="K125" s="8">
        <f t="shared" si="71"/>
        <v>0</v>
      </c>
      <c r="L125" s="8">
        <f t="shared" si="71"/>
        <v>0</v>
      </c>
      <c r="M125" s="8">
        <f t="shared" si="71"/>
        <v>0</v>
      </c>
      <c r="N125" s="8">
        <f t="shared" si="71"/>
        <v>0</v>
      </c>
      <c r="O125" s="286">
        <f t="shared" si="64"/>
        <v>0</v>
      </c>
      <c r="P125" s="227">
        <v>0</v>
      </c>
    </row>
    <row r="126" spans="1:16" s="6" customFormat="1" ht="15">
      <c r="A126" s="18" t="s">
        <v>26</v>
      </c>
      <c r="B126" s="278">
        <f aca="true" t="shared" si="72" ref="B126:O126">SUM(B127:B127)</f>
        <v>7888000</v>
      </c>
      <c r="C126" s="10">
        <f t="shared" si="72"/>
        <v>703000</v>
      </c>
      <c r="D126" s="10">
        <f t="shared" si="72"/>
        <v>703000</v>
      </c>
      <c r="E126" s="10">
        <f t="shared" si="72"/>
        <v>703000</v>
      </c>
      <c r="F126" s="10">
        <f t="shared" si="72"/>
        <v>703000</v>
      </c>
      <c r="G126" s="10">
        <f t="shared" si="72"/>
        <v>703000</v>
      </c>
      <c r="H126" s="10">
        <f t="shared" si="72"/>
        <v>703000</v>
      </c>
      <c r="I126" s="10">
        <f t="shared" si="72"/>
        <v>703000</v>
      </c>
      <c r="J126" s="10">
        <f t="shared" si="72"/>
        <v>703000</v>
      </c>
      <c r="K126" s="10">
        <f t="shared" si="72"/>
        <v>703000</v>
      </c>
      <c r="L126" s="10">
        <f t="shared" si="72"/>
        <v>703000</v>
      </c>
      <c r="M126" s="10">
        <f t="shared" si="72"/>
        <v>703000</v>
      </c>
      <c r="N126" s="10">
        <f t="shared" si="72"/>
        <v>703000</v>
      </c>
      <c r="O126" s="278">
        <f t="shared" si="72"/>
        <v>8436000</v>
      </c>
      <c r="P126" s="227">
        <f t="shared" si="37"/>
        <v>0.06947261663286004</v>
      </c>
    </row>
    <row r="127" spans="1:16" ht="15">
      <c r="A127" s="13" t="s">
        <v>39</v>
      </c>
      <c r="B127" s="279">
        <v>7888000</v>
      </c>
      <c r="C127" s="8">
        <f aca="true" t="shared" si="73" ref="C127:N127">ROUND(((+$B$127*$B$52)+$B$127)/12,-3)</f>
        <v>703000</v>
      </c>
      <c r="D127" s="8">
        <f t="shared" si="73"/>
        <v>703000</v>
      </c>
      <c r="E127" s="8">
        <f t="shared" si="73"/>
        <v>703000</v>
      </c>
      <c r="F127" s="8">
        <f t="shared" si="73"/>
        <v>703000</v>
      </c>
      <c r="G127" s="8">
        <f t="shared" si="73"/>
        <v>703000</v>
      </c>
      <c r="H127" s="8">
        <f t="shared" si="73"/>
        <v>703000</v>
      </c>
      <c r="I127" s="8">
        <f t="shared" si="73"/>
        <v>703000</v>
      </c>
      <c r="J127" s="8">
        <f t="shared" si="73"/>
        <v>703000</v>
      </c>
      <c r="K127" s="8">
        <f t="shared" si="73"/>
        <v>703000</v>
      </c>
      <c r="L127" s="8">
        <f t="shared" si="73"/>
        <v>703000</v>
      </c>
      <c r="M127" s="8">
        <f t="shared" si="73"/>
        <v>703000</v>
      </c>
      <c r="N127" s="8">
        <f t="shared" si="73"/>
        <v>703000</v>
      </c>
      <c r="O127" s="286">
        <f t="shared" si="64"/>
        <v>8436000</v>
      </c>
      <c r="P127" s="227">
        <f t="shared" si="37"/>
        <v>0.06947261663286004</v>
      </c>
    </row>
    <row r="128" spans="1:16" s="6" customFormat="1" ht="15">
      <c r="A128" s="18" t="s">
        <v>27</v>
      </c>
      <c r="B128" s="278">
        <f aca="true" t="shared" si="74" ref="B128:O128">SUM(B129:B130)</f>
        <v>0</v>
      </c>
      <c r="C128" s="10">
        <f t="shared" si="74"/>
        <v>0</v>
      </c>
      <c r="D128" s="10">
        <f t="shared" si="74"/>
        <v>0</v>
      </c>
      <c r="E128" s="10">
        <f t="shared" si="74"/>
        <v>0</v>
      </c>
      <c r="F128" s="10">
        <f t="shared" si="74"/>
        <v>0</v>
      </c>
      <c r="G128" s="10">
        <f t="shared" si="74"/>
        <v>0</v>
      </c>
      <c r="H128" s="10">
        <f t="shared" si="74"/>
        <v>0</v>
      </c>
      <c r="I128" s="10">
        <f t="shared" si="74"/>
        <v>0</v>
      </c>
      <c r="J128" s="10">
        <f t="shared" si="74"/>
        <v>0</v>
      </c>
      <c r="K128" s="10">
        <f t="shared" si="74"/>
        <v>0</v>
      </c>
      <c r="L128" s="10">
        <f t="shared" si="74"/>
        <v>0</v>
      </c>
      <c r="M128" s="10">
        <f t="shared" si="74"/>
        <v>0</v>
      </c>
      <c r="N128" s="10">
        <f t="shared" si="74"/>
        <v>0</v>
      </c>
      <c r="O128" s="278">
        <f t="shared" si="74"/>
        <v>0</v>
      </c>
      <c r="P128" s="227">
        <v>0</v>
      </c>
    </row>
    <row r="129" spans="1:16" ht="15">
      <c r="A129" s="13" t="s">
        <v>137</v>
      </c>
      <c r="B129" s="279">
        <v>0</v>
      </c>
      <c r="C129" s="8">
        <f aca="true" t="shared" si="75" ref="C129:N129">ROUND(((+$B$129*$B$52)+$B$129)/12,-3)</f>
        <v>0</v>
      </c>
      <c r="D129" s="8">
        <f t="shared" si="75"/>
        <v>0</v>
      </c>
      <c r="E129" s="8">
        <f t="shared" si="75"/>
        <v>0</v>
      </c>
      <c r="F129" s="8">
        <f t="shared" si="75"/>
        <v>0</v>
      </c>
      <c r="G129" s="8">
        <f t="shared" si="75"/>
        <v>0</v>
      </c>
      <c r="H129" s="8">
        <f t="shared" si="75"/>
        <v>0</v>
      </c>
      <c r="I129" s="8">
        <f t="shared" si="75"/>
        <v>0</v>
      </c>
      <c r="J129" s="8">
        <f t="shared" si="75"/>
        <v>0</v>
      </c>
      <c r="K129" s="8">
        <f t="shared" si="75"/>
        <v>0</v>
      </c>
      <c r="L129" s="8">
        <f t="shared" si="75"/>
        <v>0</v>
      </c>
      <c r="M129" s="8">
        <f t="shared" si="75"/>
        <v>0</v>
      </c>
      <c r="N129" s="8">
        <f t="shared" si="75"/>
        <v>0</v>
      </c>
      <c r="O129" s="286">
        <f t="shared" si="64"/>
        <v>0</v>
      </c>
      <c r="P129" s="227">
        <v>0</v>
      </c>
    </row>
    <row r="130" spans="1:16" ht="15">
      <c r="A130" s="13" t="s">
        <v>46</v>
      </c>
      <c r="B130" s="279">
        <v>0</v>
      </c>
      <c r="C130" s="8"/>
      <c r="D130" s="8">
        <f>ROUND(((+$B$130*$B$52)+$B$130),-3)</f>
        <v>0</v>
      </c>
      <c r="E130" s="8"/>
      <c r="F130" s="8">
        <f>ROUND(((+$B$130*$B$52)+$B$130),-3)</f>
        <v>0</v>
      </c>
      <c r="G130" s="8"/>
      <c r="H130" s="8">
        <f>ROUND(((+$B$130*$B$52)+$B$130),-3)</f>
        <v>0</v>
      </c>
      <c r="I130" s="8"/>
      <c r="J130" s="8">
        <f>ROUND(((+$B$130*$B$52)+$B$130),-3)</f>
        <v>0</v>
      </c>
      <c r="K130" s="8"/>
      <c r="L130" s="8">
        <f>ROUND(((+$B$130*$B$52)+$B$130),-3)</f>
        <v>0</v>
      </c>
      <c r="M130" s="8"/>
      <c r="N130" s="8">
        <f>ROUND(((+$B$130*$B$52)+$B$130),-3)</f>
        <v>0</v>
      </c>
      <c r="O130" s="286">
        <f t="shared" si="64"/>
        <v>0</v>
      </c>
      <c r="P130" s="227">
        <v>0</v>
      </c>
    </row>
    <row r="131" spans="1:16" s="6" customFormat="1" ht="15">
      <c r="A131" s="18" t="s">
        <v>28</v>
      </c>
      <c r="B131" s="278">
        <f aca="true" t="shared" si="76" ref="B131:O131">SUM(B132:B139)</f>
        <v>3298740</v>
      </c>
      <c r="C131" s="10">
        <f t="shared" si="76"/>
        <v>253000</v>
      </c>
      <c r="D131" s="10">
        <f t="shared" si="76"/>
        <v>314000</v>
      </c>
      <c r="E131" s="10">
        <f t="shared" si="76"/>
        <v>160000</v>
      </c>
      <c r="F131" s="10">
        <f t="shared" si="76"/>
        <v>190000</v>
      </c>
      <c r="G131" s="10">
        <f t="shared" si="76"/>
        <v>965000</v>
      </c>
      <c r="H131" s="10">
        <f t="shared" si="76"/>
        <v>122000</v>
      </c>
      <c r="I131" s="10">
        <f t="shared" si="76"/>
        <v>171000</v>
      </c>
      <c r="J131" s="10">
        <f t="shared" si="76"/>
        <v>75000</v>
      </c>
      <c r="K131" s="10">
        <f t="shared" si="76"/>
        <v>19000</v>
      </c>
      <c r="L131" s="10">
        <f t="shared" si="76"/>
        <v>1153000</v>
      </c>
      <c r="M131" s="10">
        <f t="shared" si="76"/>
        <v>19000</v>
      </c>
      <c r="N131" s="10">
        <f t="shared" si="76"/>
        <v>75000</v>
      </c>
      <c r="O131" s="278">
        <f t="shared" si="76"/>
        <v>3516000</v>
      </c>
      <c r="P131" s="227">
        <f t="shared" si="37"/>
        <v>0.0658615107586533</v>
      </c>
    </row>
    <row r="132" spans="1:16" ht="15">
      <c r="A132" s="13" t="s">
        <v>260</v>
      </c>
      <c r="B132" s="287">
        <v>0</v>
      </c>
      <c r="C132" s="32">
        <v>0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/>
      <c r="L132" s="8"/>
      <c r="M132" s="8"/>
      <c r="N132" s="8"/>
      <c r="O132" s="286">
        <f t="shared" si="64"/>
        <v>0</v>
      </c>
      <c r="P132" s="227">
        <v>0</v>
      </c>
    </row>
    <row r="133" spans="1:16" ht="15">
      <c r="A133" s="13" t="s">
        <v>319</v>
      </c>
      <c r="B133" s="279">
        <f>93380+35670+134850+109910+70180+80000+79100</f>
        <v>603090</v>
      </c>
      <c r="C133" s="17">
        <v>140000</v>
      </c>
      <c r="D133" s="17">
        <v>145000</v>
      </c>
      <c r="E133" s="32"/>
      <c r="F133" s="32">
        <v>115000</v>
      </c>
      <c r="G133" s="32"/>
      <c r="H133" s="32"/>
      <c r="I133" s="32">
        <f>72000+80000</f>
        <v>152000</v>
      </c>
      <c r="J133" s="32"/>
      <c r="K133" s="32"/>
      <c r="L133" s="32">
        <v>85000</v>
      </c>
      <c r="M133" s="32"/>
      <c r="N133" s="32"/>
      <c r="O133" s="286">
        <f t="shared" si="64"/>
        <v>637000</v>
      </c>
      <c r="P133" s="227">
        <f aca="true" t="shared" si="77" ref="P133:P157">+(O133-B133)/B133</f>
        <v>0.056227097116516606</v>
      </c>
    </row>
    <row r="134" spans="1:16" ht="15">
      <c r="A134" s="13" t="s">
        <v>47</v>
      </c>
      <c r="B134" s="279">
        <f>45720+4700+13250+131040+9280+13650</f>
        <v>217640</v>
      </c>
      <c r="C134" s="8">
        <f aca="true" t="shared" si="78" ref="C134:N134">ROUND(((+$B$134*$B$52)+$B$134)/12,-3)</f>
        <v>19000</v>
      </c>
      <c r="D134" s="8">
        <f t="shared" si="78"/>
        <v>19000</v>
      </c>
      <c r="E134" s="8">
        <f t="shared" si="78"/>
        <v>19000</v>
      </c>
      <c r="F134" s="8">
        <f t="shared" si="78"/>
        <v>19000</v>
      </c>
      <c r="G134" s="8">
        <f t="shared" si="78"/>
        <v>19000</v>
      </c>
      <c r="H134" s="8">
        <f t="shared" si="78"/>
        <v>19000</v>
      </c>
      <c r="I134" s="8">
        <f t="shared" si="78"/>
        <v>19000</v>
      </c>
      <c r="J134" s="8">
        <f t="shared" si="78"/>
        <v>19000</v>
      </c>
      <c r="K134" s="8">
        <f t="shared" si="78"/>
        <v>19000</v>
      </c>
      <c r="L134" s="8">
        <f t="shared" si="78"/>
        <v>19000</v>
      </c>
      <c r="M134" s="8">
        <f t="shared" si="78"/>
        <v>19000</v>
      </c>
      <c r="N134" s="8">
        <f t="shared" si="78"/>
        <v>19000</v>
      </c>
      <c r="O134" s="286">
        <f t="shared" si="64"/>
        <v>228000</v>
      </c>
      <c r="P134" s="227">
        <f t="shared" si="77"/>
        <v>0.04760154383385407</v>
      </c>
    </row>
    <row r="135" spans="1:16" ht="15">
      <c r="A135" s="13" t="s">
        <v>138</v>
      </c>
      <c r="B135" s="279">
        <f>177600+86800</f>
        <v>264400</v>
      </c>
      <c r="C135" s="8">
        <f>ROUND(((+$B$135*$B$52)+$B$135)/3,-3)</f>
        <v>94000</v>
      </c>
      <c r="D135" s="8">
        <f>ROUND(((+$B$135*$B$52)+$B$135)/3,-3)</f>
        <v>94000</v>
      </c>
      <c r="E135" s="8">
        <f>ROUND(((+$B$135*$B$52)+$B$135)/3,-3)</f>
        <v>94000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286">
        <f t="shared" si="64"/>
        <v>282000</v>
      </c>
      <c r="P135" s="227">
        <f t="shared" si="77"/>
        <v>0.06656580937972768</v>
      </c>
    </row>
    <row r="136" spans="1:16" ht="15">
      <c r="A136" s="13" t="s">
        <v>312</v>
      </c>
      <c r="B136" s="279">
        <f>895250+18200+5600+450000+400000</f>
        <v>1769050</v>
      </c>
      <c r="C136" s="8">
        <v>0</v>
      </c>
      <c r="D136" s="8">
        <v>0</v>
      </c>
      <c r="E136" s="8">
        <v>0</v>
      </c>
      <c r="F136" s="8"/>
      <c r="G136" s="8">
        <f>ROUND(((+$B$136*$B$52)+$B$136)/2,-3)</f>
        <v>946000</v>
      </c>
      <c r="H136" s="8">
        <v>0</v>
      </c>
      <c r="I136" s="8">
        <v>0</v>
      </c>
      <c r="J136" s="8">
        <v>0</v>
      </c>
      <c r="K136" s="8">
        <v>0</v>
      </c>
      <c r="L136" s="8">
        <f>ROUND(((+$B$136*$B$52)+$B$136)/2,-3)</f>
        <v>946000</v>
      </c>
      <c r="M136" s="8">
        <v>0</v>
      </c>
      <c r="N136" s="8">
        <v>0</v>
      </c>
      <c r="O136" s="286">
        <f t="shared" si="64"/>
        <v>1892000</v>
      </c>
      <c r="P136" s="227">
        <f t="shared" si="77"/>
        <v>0.06950057940702636</v>
      </c>
    </row>
    <row r="137" spans="1:16" ht="15">
      <c r="A137" s="277" t="s">
        <v>654</v>
      </c>
      <c r="B137" s="279"/>
      <c r="C137" s="8"/>
      <c r="D137" s="8"/>
      <c r="E137" s="8"/>
      <c r="F137" s="8"/>
      <c r="G137" s="8"/>
      <c r="H137" s="8"/>
      <c r="I137" s="8"/>
      <c r="J137" s="8">
        <v>0</v>
      </c>
      <c r="K137" s="8"/>
      <c r="L137" s="8"/>
      <c r="M137" s="8"/>
      <c r="N137" s="8"/>
      <c r="O137" s="286"/>
      <c r="P137" s="227">
        <v>0</v>
      </c>
    </row>
    <row r="138" spans="1:16" ht="15">
      <c r="A138" s="13" t="s">
        <v>443</v>
      </c>
      <c r="B138" s="279">
        <v>132000</v>
      </c>
      <c r="C138" s="8"/>
      <c r="D138" s="8"/>
      <c r="E138" s="8">
        <f>ROUND(((+$B$138*$B$52)+$B$138)/3,-3)</f>
        <v>47000</v>
      </c>
      <c r="F138" s="8"/>
      <c r="G138" s="8"/>
      <c r="H138" s="8">
        <f>ROUND(((+$B$138*$B$52)+$B$138)/3,-3)</f>
        <v>47000</v>
      </c>
      <c r="I138" s="8"/>
      <c r="J138" s="8"/>
      <c r="K138" s="8"/>
      <c r="L138" s="8">
        <f>ROUND(((+$B$138*$B$52)+$B$138)/3,-3)</f>
        <v>47000</v>
      </c>
      <c r="M138" s="8"/>
      <c r="N138" s="8"/>
      <c r="O138" s="286">
        <f t="shared" si="64"/>
        <v>141000</v>
      </c>
      <c r="P138" s="227">
        <f t="shared" si="77"/>
        <v>0.06818181818181818</v>
      </c>
    </row>
    <row r="139" spans="1:16" s="6" customFormat="1" ht="15">
      <c r="A139" s="13" t="s">
        <v>50</v>
      </c>
      <c r="B139" s="279">
        <v>312560</v>
      </c>
      <c r="C139" s="8"/>
      <c r="D139" s="8">
        <f>ROUND(((+$B$139*$B$52)+$B$139)/6,-3)</f>
        <v>56000</v>
      </c>
      <c r="E139" s="8"/>
      <c r="F139" s="8">
        <f>ROUND(((+$B$139*$B$52)+$B$139)/6,-3)</f>
        <v>56000</v>
      </c>
      <c r="G139" s="8"/>
      <c r="H139" s="8">
        <f>ROUND(((+$B$139*$B$52)+$B$139)/6,-3)</f>
        <v>56000</v>
      </c>
      <c r="I139" s="8"/>
      <c r="J139" s="8">
        <f>ROUND(((+$B$139*$B$52)+$B$139)/6,-3)</f>
        <v>56000</v>
      </c>
      <c r="K139" s="8"/>
      <c r="L139" s="8">
        <f>ROUND(((+$B$139*$B$52)+$B$139)/6,-3)</f>
        <v>56000</v>
      </c>
      <c r="M139" s="12"/>
      <c r="N139" s="8">
        <f>ROUND(((+$B$139*$B$52)+$B$139)/6,-3)</f>
        <v>56000</v>
      </c>
      <c r="O139" s="286">
        <f t="shared" si="64"/>
        <v>336000</v>
      </c>
      <c r="P139" s="227">
        <f t="shared" si="77"/>
        <v>0.07499360122856412</v>
      </c>
    </row>
    <row r="140" spans="1:16" ht="15">
      <c r="A140" s="18" t="s">
        <v>29</v>
      </c>
      <c r="B140" s="278">
        <v>0</v>
      </c>
      <c r="C140" s="10"/>
      <c r="D140" s="12"/>
      <c r="E140" s="10">
        <f>ROUND(((+$B$140*$B$52)+$B$140),-3)</f>
        <v>0</v>
      </c>
      <c r="F140" s="12"/>
      <c r="G140" s="12"/>
      <c r="H140" s="10">
        <f>ROUND(((+$B$140*$B$52)+$B$140),-3)</f>
        <v>0</v>
      </c>
      <c r="I140" s="12"/>
      <c r="J140" s="12"/>
      <c r="K140" s="10">
        <f>ROUND(((+$B$140*$B$52)+$B$140),-3)</f>
        <v>0</v>
      </c>
      <c r="L140" s="7"/>
      <c r="M140" s="7"/>
      <c r="N140" s="7"/>
      <c r="O140" s="286">
        <v>0</v>
      </c>
      <c r="P140" s="227">
        <v>0</v>
      </c>
    </row>
    <row r="141" spans="1:16" s="6" customFormat="1" ht="15">
      <c r="A141" s="18" t="s">
        <v>309</v>
      </c>
      <c r="B141" s="278">
        <f aca="true" t="shared" si="79" ref="B141:O141">SUM(B142:B146)</f>
        <v>20088912</v>
      </c>
      <c r="C141" s="10">
        <f t="shared" si="79"/>
        <v>327300</v>
      </c>
      <c r="D141" s="10">
        <f t="shared" si="79"/>
        <v>480000</v>
      </c>
      <c r="E141" s="10">
        <f t="shared" si="79"/>
        <v>17000</v>
      </c>
      <c r="F141" s="10">
        <f t="shared" si="79"/>
        <v>1457000</v>
      </c>
      <c r="G141" s="10">
        <f t="shared" si="79"/>
        <v>9253000</v>
      </c>
      <c r="H141" s="10">
        <f t="shared" si="79"/>
        <v>620000</v>
      </c>
      <c r="I141" s="10">
        <f t="shared" si="79"/>
        <v>17000</v>
      </c>
      <c r="J141" s="10">
        <f t="shared" si="79"/>
        <v>0</v>
      </c>
      <c r="K141" s="10">
        <f t="shared" si="79"/>
        <v>247000</v>
      </c>
      <c r="L141" s="10">
        <f t="shared" si="79"/>
        <v>0</v>
      </c>
      <c r="M141" s="10">
        <f t="shared" si="79"/>
        <v>9103000</v>
      </c>
      <c r="N141" s="10">
        <f t="shared" si="79"/>
        <v>0</v>
      </c>
      <c r="O141" s="278">
        <f t="shared" si="79"/>
        <v>21521300</v>
      </c>
      <c r="P141" s="227">
        <f t="shared" si="77"/>
        <v>0.0713024179706696</v>
      </c>
    </row>
    <row r="142" spans="1:16" s="6" customFormat="1" ht="15">
      <c r="A142" s="13" t="s">
        <v>444</v>
      </c>
      <c r="B142" s="279">
        <f>8484000+8500000</f>
        <v>16984000</v>
      </c>
      <c r="C142" s="8"/>
      <c r="D142" s="32"/>
      <c r="E142" s="10"/>
      <c r="F142" s="8"/>
      <c r="G142" s="8">
        <f>ROUND(((+$B$142*$B$52)+$B$142)/2,-3)</f>
        <v>9086000</v>
      </c>
      <c r="H142" s="7"/>
      <c r="I142" s="8"/>
      <c r="J142" s="10"/>
      <c r="K142" s="7"/>
      <c r="L142" s="32"/>
      <c r="M142" s="8">
        <f>ROUND(((+$B$142*$B$52)+$B$142)/2,-3)</f>
        <v>9086000</v>
      </c>
      <c r="N142" s="10"/>
      <c r="O142" s="286">
        <f t="shared" si="64"/>
        <v>18172000</v>
      </c>
      <c r="P142" s="227">
        <f t="shared" si="77"/>
        <v>0.06994818652849741</v>
      </c>
    </row>
    <row r="143" spans="1:16" s="6" customFormat="1" ht="15">
      <c r="A143" s="13" t="s">
        <v>447</v>
      </c>
      <c r="B143" s="279">
        <f>1345500+16379</f>
        <v>1361879</v>
      </c>
      <c r="C143" s="8"/>
      <c r="D143" s="32"/>
      <c r="E143" s="32">
        <v>0</v>
      </c>
      <c r="F143" s="8">
        <f>ROUND(((+$B$143*$B$52)+$B$143),-3)</f>
        <v>1457000</v>
      </c>
      <c r="G143" s="32">
        <v>0</v>
      </c>
      <c r="H143" s="7"/>
      <c r="I143" s="8"/>
      <c r="J143" s="10"/>
      <c r="K143" s="7"/>
      <c r="L143" s="32">
        <v>0</v>
      </c>
      <c r="M143" s="10"/>
      <c r="N143" s="10"/>
      <c r="O143" s="286">
        <f t="shared" si="64"/>
        <v>1457000</v>
      </c>
      <c r="P143" s="227">
        <f t="shared" si="77"/>
        <v>0.06984541211076754</v>
      </c>
    </row>
    <row r="144" spans="1:16" s="6" customFormat="1" ht="15">
      <c r="A144" s="13" t="s">
        <v>563</v>
      </c>
      <c r="B144" s="279">
        <v>142241</v>
      </c>
      <c r="C144" s="8"/>
      <c r="D144" s="32"/>
      <c r="E144" s="32"/>
      <c r="F144" s="32"/>
      <c r="G144" s="32">
        <v>150000</v>
      </c>
      <c r="H144" s="7"/>
      <c r="I144" s="8"/>
      <c r="J144" s="10"/>
      <c r="K144" s="7"/>
      <c r="L144" s="32"/>
      <c r="M144" s="10"/>
      <c r="N144" s="10"/>
      <c r="O144" s="286">
        <f t="shared" si="64"/>
        <v>150000</v>
      </c>
      <c r="P144" s="227">
        <f t="shared" si="77"/>
        <v>0.05454826667416568</v>
      </c>
    </row>
    <row r="145" spans="1:16" s="6" customFormat="1" ht="15">
      <c r="A145" s="13" t="s">
        <v>553</v>
      </c>
      <c r="B145" s="279">
        <v>98000</v>
      </c>
      <c r="C145" s="8">
        <f>ROUND(((+$B$145*$B$52)+$B$145)/6,-3)</f>
        <v>17000</v>
      </c>
      <c r="D145" s="32"/>
      <c r="E145" s="8">
        <f>ROUND(((+$B$145*$B$52)+$B$145)/6,-3)</f>
        <v>17000</v>
      </c>
      <c r="F145" s="32"/>
      <c r="G145" s="8">
        <f>ROUND(((+$B$145*$B$52)+$B$145)/6,-3)</f>
        <v>17000</v>
      </c>
      <c r="H145" s="7"/>
      <c r="I145" s="8">
        <f>ROUND(((+$B$145*$B$52)+$B$145)/6,-3)</f>
        <v>17000</v>
      </c>
      <c r="J145" s="10"/>
      <c r="K145" s="8">
        <f>ROUND(((+$B$145*$B$52)+$B$145)/6,-3)</f>
        <v>17000</v>
      </c>
      <c r="L145" s="32"/>
      <c r="M145" s="8">
        <f>ROUND(((+$B$145*$B$52)+$B$145)/6,-3)</f>
        <v>17000</v>
      </c>
      <c r="N145" s="10"/>
      <c r="O145" s="286">
        <f t="shared" si="64"/>
        <v>102000</v>
      </c>
      <c r="P145" s="227">
        <f t="shared" si="77"/>
        <v>0.04081632653061224</v>
      </c>
    </row>
    <row r="146" spans="1:16" s="6" customFormat="1" ht="15">
      <c r="A146" s="13" t="s">
        <v>445</v>
      </c>
      <c r="B146" s="279">
        <f>290000+232758+232758+410207+112069+225000</f>
        <v>1502792</v>
      </c>
      <c r="C146" s="17">
        <v>310300</v>
      </c>
      <c r="D146" s="17">
        <v>480000</v>
      </c>
      <c r="E146" s="8"/>
      <c r="F146" s="7"/>
      <c r="G146" s="32"/>
      <c r="H146" s="32">
        <v>620000</v>
      </c>
      <c r="I146" s="8"/>
      <c r="J146" s="10"/>
      <c r="K146" s="7">
        <v>230000</v>
      </c>
      <c r="L146" s="10"/>
      <c r="M146" s="10"/>
      <c r="N146" s="10"/>
      <c r="O146" s="286">
        <f t="shared" si="64"/>
        <v>1640300</v>
      </c>
      <c r="P146" s="227">
        <f t="shared" si="77"/>
        <v>0.09150168486390665</v>
      </c>
    </row>
    <row r="147" spans="1:17" s="6" customFormat="1" ht="15">
      <c r="A147" s="18" t="s">
        <v>232</v>
      </c>
      <c r="B147" s="278">
        <f aca="true" t="shared" si="80" ref="B147">SUM(B148:B157)</f>
        <v>2621340</v>
      </c>
      <c r="C147" s="10">
        <f aca="true" t="shared" si="81" ref="C147:O147">SUM(C148:C157)</f>
        <v>275000</v>
      </c>
      <c r="D147" s="10">
        <f t="shared" si="81"/>
        <v>0</v>
      </c>
      <c r="E147" s="10">
        <f t="shared" si="81"/>
        <v>718000</v>
      </c>
      <c r="F147" s="10">
        <f t="shared" si="81"/>
        <v>600000</v>
      </c>
      <c r="G147" s="10">
        <f t="shared" si="81"/>
        <v>0</v>
      </c>
      <c r="H147" s="10">
        <f t="shared" si="81"/>
        <v>0</v>
      </c>
      <c r="I147" s="10">
        <f t="shared" si="81"/>
        <v>898000</v>
      </c>
      <c r="J147" s="10">
        <f t="shared" si="81"/>
        <v>490000</v>
      </c>
      <c r="K147" s="10">
        <f t="shared" si="81"/>
        <v>1206000</v>
      </c>
      <c r="L147" s="10">
        <f t="shared" si="81"/>
        <v>0</v>
      </c>
      <c r="M147" s="10">
        <f t="shared" si="81"/>
        <v>228000</v>
      </c>
      <c r="N147" s="10">
        <f t="shared" si="81"/>
        <v>0</v>
      </c>
      <c r="O147" s="278">
        <f t="shared" si="81"/>
        <v>4415000</v>
      </c>
      <c r="P147" s="227">
        <f t="shared" si="77"/>
        <v>0.6842530919300815</v>
      </c>
      <c r="Q147" s="14"/>
    </row>
    <row r="148" spans="1:16" ht="15">
      <c r="A148" s="13" t="s">
        <v>264</v>
      </c>
      <c r="B148" s="279">
        <f>255340+110000+40000</f>
        <v>405340</v>
      </c>
      <c r="C148" s="17">
        <v>275000</v>
      </c>
      <c r="D148" s="17">
        <v>0</v>
      </c>
      <c r="E148" s="17">
        <v>0</v>
      </c>
      <c r="F148" s="32"/>
      <c r="G148" s="32"/>
      <c r="H148" s="32"/>
      <c r="I148" s="32">
        <f>120000+50000</f>
        <v>170000</v>
      </c>
      <c r="J148" s="32"/>
      <c r="K148" s="32"/>
      <c r="L148" s="32"/>
      <c r="M148" s="32"/>
      <c r="N148" s="32"/>
      <c r="O148" s="286">
        <f aca="true" t="shared" si="82" ref="O148:O157">SUM(C148:N148)</f>
        <v>445000</v>
      </c>
      <c r="P148" s="227">
        <f t="shared" si="77"/>
        <v>0.09784378546405487</v>
      </c>
    </row>
    <row r="149" spans="1:16" ht="15">
      <c r="A149" s="13" t="s">
        <v>308</v>
      </c>
      <c r="B149" s="279">
        <v>660000</v>
      </c>
      <c r="C149" s="32"/>
      <c r="D149" s="32"/>
      <c r="E149" s="32"/>
      <c r="F149" s="32"/>
      <c r="G149" s="32"/>
      <c r="H149" s="32"/>
      <c r="I149" s="32"/>
      <c r="J149" s="32"/>
      <c r="K149" s="8">
        <f>ROUND(((+$B$149*$B$52)+$B$149),-3)</f>
        <v>706000</v>
      </c>
      <c r="L149" s="32"/>
      <c r="M149" s="32"/>
      <c r="N149" s="32"/>
      <c r="O149" s="286">
        <f t="shared" si="82"/>
        <v>706000</v>
      </c>
      <c r="P149" s="227">
        <f t="shared" si="77"/>
        <v>0.0696969696969697</v>
      </c>
    </row>
    <row r="150" spans="1:16" ht="15">
      <c r="A150" s="13" t="s">
        <v>702</v>
      </c>
      <c r="B150" s="279">
        <v>0</v>
      </c>
      <c r="C150" s="32"/>
      <c r="D150" s="32"/>
      <c r="E150" s="32"/>
      <c r="F150" s="32">
        <v>600000</v>
      </c>
      <c r="G150" s="32"/>
      <c r="H150" s="32"/>
      <c r="I150" s="32"/>
      <c r="J150" s="32"/>
      <c r="K150" s="8"/>
      <c r="L150" s="32"/>
      <c r="M150" s="32"/>
      <c r="N150" s="32"/>
      <c r="O150" s="286">
        <f t="shared" si="82"/>
        <v>600000</v>
      </c>
      <c r="P150" s="227">
        <v>1</v>
      </c>
    </row>
    <row r="151" spans="1:16" ht="15">
      <c r="A151" s="13" t="s">
        <v>458</v>
      </c>
      <c r="B151" s="279">
        <v>0</v>
      </c>
      <c r="C151" s="32">
        <v>0</v>
      </c>
      <c r="D151" s="32"/>
      <c r="E151" s="32">
        <v>0</v>
      </c>
      <c r="F151" s="32"/>
      <c r="G151" s="32">
        <v>0</v>
      </c>
      <c r="H151" s="32"/>
      <c r="I151" s="32">
        <v>500000</v>
      </c>
      <c r="J151" s="32"/>
      <c r="K151" s="32">
        <v>500000</v>
      </c>
      <c r="L151" s="32"/>
      <c r="M151" s="32">
        <v>0</v>
      </c>
      <c r="N151" s="32"/>
      <c r="O151" s="286">
        <f t="shared" si="82"/>
        <v>1000000</v>
      </c>
      <c r="P151" s="227">
        <v>1</v>
      </c>
    </row>
    <row r="152" spans="1:16" ht="15">
      <c r="A152" s="13" t="s">
        <v>667</v>
      </c>
      <c r="B152" s="279">
        <f>520000+120000</f>
        <v>640000</v>
      </c>
      <c r="C152" s="32"/>
      <c r="D152" s="32"/>
      <c r="E152" s="8">
        <f>ROUND(((+$B$152*$B$52)+$B$152)/3,-3)</f>
        <v>228000</v>
      </c>
      <c r="F152" s="32"/>
      <c r="G152" s="32"/>
      <c r="H152" s="32"/>
      <c r="I152" s="8">
        <f>ROUND(((+$B$152*$B$52)+$B$152)/3,-3)</f>
        <v>228000</v>
      </c>
      <c r="J152" s="32"/>
      <c r="K152" s="32"/>
      <c r="L152" s="32"/>
      <c r="M152" s="8">
        <f>ROUND(((+$B$152*$B$52)+$B$152)/3,-3)</f>
        <v>228000</v>
      </c>
      <c r="N152" s="32"/>
      <c r="O152" s="286">
        <f aca="true" t="shared" si="83" ref="O152">SUM(C152:N152)</f>
        <v>684000</v>
      </c>
      <c r="P152" s="227">
        <f t="shared" si="77"/>
        <v>0.06875</v>
      </c>
    </row>
    <row r="153" spans="1:16" ht="15">
      <c r="A153" s="13" t="s">
        <v>554</v>
      </c>
      <c r="B153" s="279">
        <v>0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286">
        <f t="shared" si="82"/>
        <v>0</v>
      </c>
      <c r="P153" s="227">
        <v>0</v>
      </c>
    </row>
    <row r="154" spans="1:16" ht="15">
      <c r="A154" s="277" t="s">
        <v>566</v>
      </c>
      <c r="B154" s="279">
        <v>0</v>
      </c>
      <c r="C154" s="32"/>
      <c r="D154" s="32"/>
      <c r="E154" s="32"/>
      <c r="F154" s="32"/>
      <c r="G154" s="32"/>
      <c r="H154" s="32"/>
      <c r="I154" s="32"/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286">
        <f t="shared" si="82"/>
        <v>0</v>
      </c>
      <c r="P154" s="227">
        <v>1</v>
      </c>
    </row>
    <row r="155" spans="1:16" ht="15">
      <c r="A155" s="277" t="s">
        <v>565</v>
      </c>
      <c r="B155" s="279">
        <v>0</v>
      </c>
      <c r="C155" s="32"/>
      <c r="D155" s="32"/>
      <c r="E155" s="32"/>
      <c r="F155" s="32"/>
      <c r="G155" s="32"/>
      <c r="H155" s="32"/>
      <c r="I155" s="32"/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286">
        <f t="shared" si="82"/>
        <v>0</v>
      </c>
      <c r="P155" s="227">
        <v>1</v>
      </c>
    </row>
    <row r="156" spans="1:16" ht="15">
      <c r="A156" s="277" t="s">
        <v>567</v>
      </c>
      <c r="B156" s="279">
        <v>0</v>
      </c>
      <c r="C156" s="32"/>
      <c r="D156" s="32"/>
      <c r="E156" s="32"/>
      <c r="F156" s="32"/>
      <c r="G156" s="32"/>
      <c r="H156" s="32"/>
      <c r="I156" s="32"/>
      <c r="J156" s="32"/>
      <c r="K156" s="32">
        <v>0</v>
      </c>
      <c r="L156" s="32">
        <v>0</v>
      </c>
      <c r="M156" s="32"/>
      <c r="N156" s="32"/>
      <c r="O156" s="286">
        <f t="shared" si="82"/>
        <v>0</v>
      </c>
      <c r="P156" s="227">
        <v>1</v>
      </c>
    </row>
    <row r="157" spans="1:16" ht="15">
      <c r="A157" s="13" t="s">
        <v>453</v>
      </c>
      <c r="B157" s="279">
        <f>416000+500000</f>
        <v>916000</v>
      </c>
      <c r="C157" s="32">
        <v>0</v>
      </c>
      <c r="D157" s="32">
        <v>0</v>
      </c>
      <c r="E157" s="8">
        <f>ROUND(((+$B$157*$B$52)+$B$157)/2,-3)</f>
        <v>490000</v>
      </c>
      <c r="F157" s="32">
        <v>0</v>
      </c>
      <c r="G157" s="32">
        <v>0</v>
      </c>
      <c r="H157" s="32">
        <v>0</v>
      </c>
      <c r="I157" s="32">
        <v>0</v>
      </c>
      <c r="J157" s="8">
        <f>ROUND(((+$B$157*$B$52)+$B$157)/2,-3)</f>
        <v>490000</v>
      </c>
      <c r="K157" s="32">
        <v>0</v>
      </c>
      <c r="L157" s="32">
        <v>0</v>
      </c>
      <c r="M157" s="32">
        <v>0</v>
      </c>
      <c r="N157" s="32">
        <v>0</v>
      </c>
      <c r="O157" s="286">
        <f t="shared" si="82"/>
        <v>980000</v>
      </c>
      <c r="P157" s="227">
        <f t="shared" si="77"/>
        <v>0.06986899563318777</v>
      </c>
    </row>
    <row r="158" spans="1:16" ht="15">
      <c r="A158" s="18" t="s">
        <v>51</v>
      </c>
      <c r="B158" s="279"/>
      <c r="C158" s="10">
        <f>+C159</f>
        <v>0</v>
      </c>
      <c r="D158" s="10">
        <f aca="true" t="shared" si="84" ref="D158:K158">+D159</f>
        <v>0</v>
      </c>
      <c r="E158" s="10">
        <f t="shared" si="84"/>
        <v>0</v>
      </c>
      <c r="F158" s="10">
        <f t="shared" si="84"/>
        <v>0</v>
      </c>
      <c r="G158" s="10">
        <f t="shared" si="84"/>
        <v>0</v>
      </c>
      <c r="H158" s="10">
        <f t="shared" si="84"/>
        <v>0</v>
      </c>
      <c r="I158" s="10">
        <f t="shared" si="84"/>
        <v>0</v>
      </c>
      <c r="J158" s="10">
        <f t="shared" si="84"/>
        <v>0</v>
      </c>
      <c r="K158" s="10">
        <f t="shared" si="84"/>
        <v>0</v>
      </c>
      <c r="L158" s="10">
        <f>+L159</f>
        <v>0</v>
      </c>
      <c r="M158" s="10">
        <f>+M159</f>
        <v>0</v>
      </c>
      <c r="N158" s="10">
        <f>+N159</f>
        <v>0</v>
      </c>
      <c r="O158" s="308">
        <f aca="true" t="shared" si="85" ref="O158:O159">SUM(C158:N158)</f>
        <v>0</v>
      </c>
      <c r="P158" s="20"/>
    </row>
    <row r="159" spans="1:16" ht="15">
      <c r="A159" s="13" t="s">
        <v>52</v>
      </c>
      <c r="B159" s="279">
        <v>0</v>
      </c>
      <c r="C159" s="8">
        <f>ROUND(((+$B$159*$B$52)+$B$159)/5,-3)</f>
        <v>0</v>
      </c>
      <c r="D159" s="7"/>
      <c r="E159" s="8">
        <f>ROUND(((+$B$159*$B$52)+$B$159)/5,-3)</f>
        <v>0</v>
      </c>
      <c r="F159" s="7"/>
      <c r="G159" s="8">
        <f>ROUND(((+$B$159*$B$52)+$B$159)/5,-3)</f>
        <v>0</v>
      </c>
      <c r="H159" s="7"/>
      <c r="I159" s="8">
        <f>ROUND(((+$B$159*$B$52)+$B$159)/5,-3)</f>
        <v>0</v>
      </c>
      <c r="J159" s="7"/>
      <c r="K159" s="7"/>
      <c r="L159" s="8">
        <f>ROUND(((+$B$159*$B$52)+$B$159)/5,-3)</f>
        <v>0</v>
      </c>
      <c r="M159" s="7"/>
      <c r="N159" s="7"/>
      <c r="O159" s="285">
        <f t="shared" si="85"/>
        <v>0</v>
      </c>
      <c r="P159" s="20"/>
    </row>
    <row r="160" spans="1:16" s="6" customFormat="1" ht="15">
      <c r="A160" s="18" t="s">
        <v>53</v>
      </c>
      <c r="B160" s="278">
        <f aca="true" t="shared" si="86" ref="B160:O160">+B161+B167</f>
        <v>14423394</v>
      </c>
      <c r="C160" s="10">
        <f t="shared" si="86"/>
        <v>321000</v>
      </c>
      <c r="D160" s="10">
        <f t="shared" si="86"/>
        <v>0</v>
      </c>
      <c r="E160" s="10">
        <f t="shared" si="86"/>
        <v>2004000</v>
      </c>
      <c r="F160" s="10">
        <f t="shared" si="86"/>
        <v>0</v>
      </c>
      <c r="G160" s="10">
        <f t="shared" si="86"/>
        <v>321000</v>
      </c>
      <c r="H160" s="10">
        <f t="shared" si="86"/>
        <v>651000</v>
      </c>
      <c r="I160" s="10">
        <f t="shared" si="86"/>
        <v>1633000</v>
      </c>
      <c r="J160" s="10">
        <f t="shared" si="86"/>
        <v>0</v>
      </c>
      <c r="K160" s="10">
        <f t="shared" si="86"/>
        <v>972000</v>
      </c>
      <c r="L160" s="10">
        <f t="shared" si="86"/>
        <v>0</v>
      </c>
      <c r="M160" s="10">
        <f t="shared" si="86"/>
        <v>1353000</v>
      </c>
      <c r="N160" s="10">
        <f t="shared" si="86"/>
        <v>0</v>
      </c>
      <c r="O160" s="278">
        <f t="shared" si="86"/>
        <v>7255000</v>
      </c>
      <c r="P160" s="227">
        <f aca="true" t="shared" si="87" ref="P160:P220">+(O160-B160)/B160</f>
        <v>-0.4969977246686875</v>
      </c>
    </row>
    <row r="161" spans="1:16" ht="15">
      <c r="A161" s="18" t="s">
        <v>54</v>
      </c>
      <c r="B161" s="278">
        <f>+B162+B163+B164+B165</f>
        <v>9527394</v>
      </c>
      <c r="C161" s="10">
        <f>+C162+C163+C164+C165</f>
        <v>0</v>
      </c>
      <c r="D161" s="10">
        <f aca="true" t="shared" si="88" ref="D161:O161">+D162+D163+D164+D165</f>
        <v>0</v>
      </c>
      <c r="E161" s="10">
        <f t="shared" si="88"/>
        <v>687000</v>
      </c>
      <c r="F161" s="10">
        <f t="shared" si="88"/>
        <v>0</v>
      </c>
      <c r="G161" s="10">
        <f t="shared" si="88"/>
        <v>0</v>
      </c>
      <c r="H161" s="10">
        <f t="shared" si="88"/>
        <v>651000</v>
      </c>
      <c r="I161" s="10">
        <f t="shared" si="88"/>
        <v>36000</v>
      </c>
      <c r="J161" s="10">
        <f t="shared" si="88"/>
        <v>0</v>
      </c>
      <c r="K161" s="10">
        <f t="shared" si="88"/>
        <v>651000</v>
      </c>
      <c r="L161" s="10">
        <f t="shared" si="88"/>
        <v>0</v>
      </c>
      <c r="M161" s="10">
        <f t="shared" si="88"/>
        <v>36000</v>
      </c>
      <c r="N161" s="10">
        <f t="shared" si="88"/>
        <v>0</v>
      </c>
      <c r="O161" s="278">
        <f t="shared" si="88"/>
        <v>2061000</v>
      </c>
      <c r="P161" s="227">
        <f t="shared" si="87"/>
        <v>-0.7836764177066677</v>
      </c>
    </row>
    <row r="162" spans="1:16" ht="15">
      <c r="A162" s="13" t="s">
        <v>131</v>
      </c>
      <c r="B162" s="279">
        <v>7600000</v>
      </c>
      <c r="C162" s="8">
        <f>SUM(C163:C164)</f>
        <v>0</v>
      </c>
      <c r="D162" s="8">
        <v>0</v>
      </c>
      <c r="E162" s="8">
        <v>0</v>
      </c>
      <c r="F162" s="8">
        <f>SUM(F163:F164)</f>
        <v>0</v>
      </c>
      <c r="G162" s="8">
        <v>0</v>
      </c>
      <c r="H162" s="8">
        <v>0</v>
      </c>
      <c r="I162" s="8">
        <f>SUM(I163:I164)</f>
        <v>0</v>
      </c>
      <c r="J162" s="8">
        <f>SUM(J163:J164)</f>
        <v>0</v>
      </c>
      <c r="K162" s="8">
        <v>0</v>
      </c>
      <c r="L162" s="8">
        <v>0</v>
      </c>
      <c r="M162" s="8">
        <f>SUM(M163:M164)</f>
        <v>0</v>
      </c>
      <c r="N162" s="8">
        <f>SUM(N163:N164)</f>
        <v>0</v>
      </c>
      <c r="O162" s="279">
        <f>SUM(C162:N162)</f>
        <v>0</v>
      </c>
      <c r="P162" s="227">
        <f t="shared" si="87"/>
        <v>-1</v>
      </c>
    </row>
    <row r="163" spans="1:16" ht="15">
      <c r="A163" s="13" t="s">
        <v>139</v>
      </c>
      <c r="B163" s="279">
        <f>132645-5251</f>
        <v>127394</v>
      </c>
      <c r="C163" s="8"/>
      <c r="D163" s="7"/>
      <c r="E163" s="8">
        <f>ROUND(((+$B$163*$B$52)+$B$163)/3,-3)</f>
        <v>45000</v>
      </c>
      <c r="F163" s="8"/>
      <c r="G163" s="8"/>
      <c r="H163" s="8">
        <f>ROUND(((+$B$163*$B$52)+$B$163)/3,-3)</f>
        <v>45000</v>
      </c>
      <c r="I163" s="8"/>
      <c r="J163" s="8"/>
      <c r="K163" s="8">
        <f>ROUND(((+$B$163*$B$52)+$B$163)/3,-3)</f>
        <v>45000</v>
      </c>
      <c r="L163" s="8"/>
      <c r="M163" s="8"/>
      <c r="N163" s="8"/>
      <c r="O163" s="279">
        <f aca="true" t="shared" si="89" ref="O163:O171">SUM(C163:N163)</f>
        <v>135000</v>
      </c>
      <c r="P163" s="227">
        <f t="shared" si="87"/>
        <v>0.05970453867529083</v>
      </c>
    </row>
    <row r="164" spans="1:16" ht="15">
      <c r="A164" s="13" t="s">
        <v>446</v>
      </c>
      <c r="B164" s="279">
        <v>1700000</v>
      </c>
      <c r="C164" s="8"/>
      <c r="D164" s="7"/>
      <c r="E164" s="8">
        <f>ROUND(((+$B$164*$B$52)+$B$164)/3,-3)</f>
        <v>606000</v>
      </c>
      <c r="F164" s="8"/>
      <c r="G164" s="8">
        <v>0</v>
      </c>
      <c r="H164" s="8">
        <f>ROUND(((+$B$164*$B$52)+$B$164)/3,-3)</f>
        <v>606000</v>
      </c>
      <c r="I164" s="8"/>
      <c r="J164" s="8"/>
      <c r="K164" s="8">
        <f>ROUND(((+$B$164*$B$52)+$B$164)/3,-3)</f>
        <v>606000</v>
      </c>
      <c r="L164" s="8"/>
      <c r="M164" s="8"/>
      <c r="N164" s="8"/>
      <c r="O164" s="279">
        <f t="shared" si="89"/>
        <v>1818000</v>
      </c>
      <c r="P164" s="227">
        <f t="shared" si="87"/>
        <v>0.06941176470588235</v>
      </c>
    </row>
    <row r="165" spans="1:16" ht="15">
      <c r="A165" s="18" t="s">
        <v>56</v>
      </c>
      <c r="B165" s="278">
        <f aca="true" t="shared" si="90" ref="B165:O165">SUM(B166:B166)</f>
        <v>100000</v>
      </c>
      <c r="C165" s="10">
        <f t="shared" si="90"/>
        <v>0</v>
      </c>
      <c r="D165" s="10">
        <f t="shared" si="90"/>
        <v>0</v>
      </c>
      <c r="E165" s="10">
        <f t="shared" si="90"/>
        <v>36000</v>
      </c>
      <c r="F165" s="10">
        <f t="shared" si="90"/>
        <v>0</v>
      </c>
      <c r="G165" s="10">
        <f t="shared" si="90"/>
        <v>0</v>
      </c>
      <c r="H165" s="10">
        <f t="shared" si="90"/>
        <v>0</v>
      </c>
      <c r="I165" s="10">
        <f t="shared" si="90"/>
        <v>36000</v>
      </c>
      <c r="J165" s="10">
        <f t="shared" si="90"/>
        <v>0</v>
      </c>
      <c r="K165" s="10">
        <f t="shared" si="90"/>
        <v>0</v>
      </c>
      <c r="L165" s="10">
        <f t="shared" si="90"/>
        <v>0</v>
      </c>
      <c r="M165" s="10">
        <f t="shared" si="90"/>
        <v>36000</v>
      </c>
      <c r="N165" s="10">
        <f t="shared" si="90"/>
        <v>0</v>
      </c>
      <c r="O165" s="278">
        <f t="shared" si="90"/>
        <v>108000</v>
      </c>
      <c r="P165" s="227">
        <f t="shared" si="87"/>
        <v>0.08</v>
      </c>
    </row>
    <row r="166" spans="1:16" ht="15">
      <c r="A166" s="13" t="s">
        <v>263</v>
      </c>
      <c r="B166" s="279">
        <v>100000</v>
      </c>
      <c r="C166" s="8"/>
      <c r="D166" s="7"/>
      <c r="E166" s="8">
        <f>ROUND(((+$B$166*$B$52)+$B$166)/3,-3)</f>
        <v>36000</v>
      </c>
      <c r="F166" s="7"/>
      <c r="G166" s="7"/>
      <c r="H166" s="7"/>
      <c r="I166" s="8">
        <f>ROUND(((+$B$166*$B$52)+$B$166)/3,-3)</f>
        <v>36000</v>
      </c>
      <c r="J166" s="7"/>
      <c r="K166" s="7"/>
      <c r="L166" s="7"/>
      <c r="M166" s="8">
        <f>ROUND(((+$B$166*$B$52)+$B$166)/3,-3)</f>
        <v>36000</v>
      </c>
      <c r="N166" s="7"/>
      <c r="O166" s="279">
        <f t="shared" si="89"/>
        <v>108000</v>
      </c>
      <c r="P166" s="227">
        <f t="shared" si="87"/>
        <v>0.08</v>
      </c>
    </row>
    <row r="167" spans="1:16" ht="15">
      <c r="A167" s="18" t="s">
        <v>57</v>
      </c>
      <c r="B167" s="278">
        <f aca="true" t="shared" si="91" ref="B167:O167">SUM(B168:B171)</f>
        <v>4896000</v>
      </c>
      <c r="C167" s="10">
        <f t="shared" si="91"/>
        <v>321000</v>
      </c>
      <c r="D167" s="10">
        <f t="shared" si="91"/>
        <v>0</v>
      </c>
      <c r="E167" s="10">
        <f t="shared" si="91"/>
        <v>1317000</v>
      </c>
      <c r="F167" s="10">
        <f t="shared" si="91"/>
        <v>0</v>
      </c>
      <c r="G167" s="10">
        <f t="shared" si="91"/>
        <v>321000</v>
      </c>
      <c r="H167" s="10">
        <f t="shared" si="91"/>
        <v>0</v>
      </c>
      <c r="I167" s="10">
        <f t="shared" si="91"/>
        <v>1597000</v>
      </c>
      <c r="J167" s="10">
        <f t="shared" si="91"/>
        <v>0</v>
      </c>
      <c r="K167" s="10">
        <f t="shared" si="91"/>
        <v>321000</v>
      </c>
      <c r="L167" s="10">
        <f t="shared" si="91"/>
        <v>0</v>
      </c>
      <c r="M167" s="10">
        <f t="shared" si="91"/>
        <v>1317000</v>
      </c>
      <c r="N167" s="10">
        <f t="shared" si="91"/>
        <v>0</v>
      </c>
      <c r="O167" s="278">
        <f t="shared" si="91"/>
        <v>5194000</v>
      </c>
      <c r="P167" s="227">
        <f t="shared" si="87"/>
        <v>0.060866013071895424</v>
      </c>
    </row>
    <row r="168" spans="1:16" ht="15">
      <c r="A168" s="167" t="s">
        <v>265</v>
      </c>
      <c r="B168" s="279">
        <v>1800000</v>
      </c>
      <c r="C168" s="8">
        <f>ROUND(((+$B$168*$B$52)+$B$168)/6,-3)</f>
        <v>321000</v>
      </c>
      <c r="D168" s="7"/>
      <c r="E168" s="8">
        <f>ROUND(((+$B$168*$B$52)+$B$168)/6,-3)</f>
        <v>321000</v>
      </c>
      <c r="F168" s="8"/>
      <c r="G168" s="8">
        <f>ROUND(((+$B$168*$B$52)+$B$168)/6,-3)</f>
        <v>321000</v>
      </c>
      <c r="H168" s="7"/>
      <c r="I168" s="8">
        <f>ROUND(((+$B$168*$B$52)+$B$168)/6,-3)</f>
        <v>321000</v>
      </c>
      <c r="J168" s="7"/>
      <c r="K168" s="8">
        <f>ROUND(((+$B$168*$B$52)+$B$168)/6,-3)</f>
        <v>321000</v>
      </c>
      <c r="L168" s="8"/>
      <c r="M168" s="8">
        <f>ROUND(((+$B$168*$B$52)+$B$168)/6,-3)</f>
        <v>321000</v>
      </c>
      <c r="N168" s="7"/>
      <c r="O168" s="279">
        <f t="shared" si="89"/>
        <v>1926000</v>
      </c>
      <c r="P168" s="227">
        <f t="shared" si="87"/>
        <v>0.07</v>
      </c>
    </row>
    <row r="169" spans="1:16" ht="15">
      <c r="A169" s="13" t="s">
        <v>140</v>
      </c>
      <c r="B169" s="279">
        <v>830000</v>
      </c>
      <c r="C169" s="8"/>
      <c r="D169" s="7"/>
      <c r="E169" s="8">
        <f>ROUND(((+$B$169*$B$52)+$B$169)/3,-3)</f>
        <v>296000</v>
      </c>
      <c r="F169" s="8"/>
      <c r="G169" s="7"/>
      <c r="H169" s="7"/>
      <c r="I169" s="8">
        <f>ROUND(((+$B$169*$B$52)+$B$169)/3,-3)</f>
        <v>296000</v>
      </c>
      <c r="J169" s="7"/>
      <c r="K169" s="7"/>
      <c r="L169" s="7"/>
      <c r="M169" s="8">
        <f>ROUND(((+$B$169*$B$52)+$B$169)/3,-3)</f>
        <v>296000</v>
      </c>
      <c r="N169" s="7"/>
      <c r="O169" s="279">
        <f t="shared" si="89"/>
        <v>888000</v>
      </c>
      <c r="P169" s="227">
        <f t="shared" si="87"/>
        <v>0.06987951807228916</v>
      </c>
    </row>
    <row r="170" spans="1:16" ht="15">
      <c r="A170" s="13" t="s">
        <v>556</v>
      </c>
      <c r="B170" s="279">
        <v>280000</v>
      </c>
      <c r="C170" s="8"/>
      <c r="D170" s="7"/>
      <c r="E170" s="8"/>
      <c r="F170" s="8"/>
      <c r="G170" s="7"/>
      <c r="H170" s="7"/>
      <c r="I170" s="8">
        <f>ROUND(+$B$170,-3)</f>
        <v>280000</v>
      </c>
      <c r="J170" s="7"/>
      <c r="K170" s="7"/>
      <c r="L170" s="7"/>
      <c r="M170" s="8"/>
      <c r="N170" s="7"/>
      <c r="O170" s="279">
        <f t="shared" si="89"/>
        <v>280000</v>
      </c>
      <c r="P170" s="227">
        <f t="shared" si="87"/>
        <v>0</v>
      </c>
    </row>
    <row r="171" spans="1:16" ht="15">
      <c r="A171" s="13" t="s">
        <v>555</v>
      </c>
      <c r="B171" s="279">
        <v>1986000</v>
      </c>
      <c r="C171" s="8"/>
      <c r="D171" s="7"/>
      <c r="E171" s="8">
        <v>700000</v>
      </c>
      <c r="F171" s="8"/>
      <c r="G171" s="7"/>
      <c r="H171" s="7"/>
      <c r="I171" s="8">
        <v>700000</v>
      </c>
      <c r="J171" s="7"/>
      <c r="K171" s="7"/>
      <c r="L171" s="7"/>
      <c r="M171" s="8">
        <v>700000</v>
      </c>
      <c r="N171" s="7"/>
      <c r="O171" s="279">
        <f t="shared" si="89"/>
        <v>2100000</v>
      </c>
      <c r="P171" s="227">
        <f t="shared" si="87"/>
        <v>0.05740181268882175</v>
      </c>
    </row>
    <row r="172" spans="1:16" s="6" customFormat="1" ht="15">
      <c r="A172" s="18" t="s">
        <v>61</v>
      </c>
      <c r="B172" s="278">
        <f aca="true" t="shared" si="92" ref="B172:O172">+B173+B178+B180+B183</f>
        <v>14802000</v>
      </c>
      <c r="C172" s="10">
        <f t="shared" si="92"/>
        <v>500000</v>
      </c>
      <c r="D172" s="10">
        <f t="shared" si="92"/>
        <v>1729000</v>
      </c>
      <c r="E172" s="10">
        <f t="shared" si="92"/>
        <v>1139000</v>
      </c>
      <c r="F172" s="10">
        <f t="shared" si="92"/>
        <v>1567000</v>
      </c>
      <c r="G172" s="10">
        <f t="shared" si="92"/>
        <v>650000</v>
      </c>
      <c r="H172" s="10">
        <f t="shared" si="92"/>
        <v>1567000</v>
      </c>
      <c r="I172" s="10">
        <f t="shared" si="92"/>
        <v>1139000</v>
      </c>
      <c r="J172" s="10">
        <f t="shared" si="92"/>
        <v>1240000</v>
      </c>
      <c r="K172" s="10">
        <f t="shared" si="92"/>
        <v>750000</v>
      </c>
      <c r="L172" s="10">
        <f t="shared" si="92"/>
        <v>1567000</v>
      </c>
      <c r="M172" s="10">
        <f t="shared" si="92"/>
        <v>650000</v>
      </c>
      <c r="N172" s="10">
        <f t="shared" si="92"/>
        <v>1417000</v>
      </c>
      <c r="O172" s="278">
        <f t="shared" si="92"/>
        <v>13915000</v>
      </c>
      <c r="P172" s="227">
        <f t="shared" si="87"/>
        <v>-0.05992433454938522</v>
      </c>
    </row>
    <row r="173" spans="1:16" ht="15">
      <c r="A173" s="18" t="s">
        <v>63</v>
      </c>
      <c r="B173" s="278">
        <f aca="true" t="shared" si="93" ref="B173">SUM(B174:B177)</f>
        <v>2702000</v>
      </c>
      <c r="C173" s="10">
        <f>SUM(C174:C177)</f>
        <v>0</v>
      </c>
      <c r="D173" s="10">
        <f aca="true" t="shared" si="94" ref="D173:O173">SUM(D174:D177)</f>
        <v>590000</v>
      </c>
      <c r="E173" s="10">
        <f t="shared" si="94"/>
        <v>0</v>
      </c>
      <c r="F173" s="10">
        <f t="shared" si="94"/>
        <v>428000</v>
      </c>
      <c r="G173" s="10">
        <f t="shared" si="94"/>
        <v>0</v>
      </c>
      <c r="H173" s="10">
        <f t="shared" si="94"/>
        <v>428000</v>
      </c>
      <c r="I173" s="10">
        <f t="shared" si="94"/>
        <v>0</v>
      </c>
      <c r="J173" s="10">
        <f t="shared" si="94"/>
        <v>590000</v>
      </c>
      <c r="K173" s="10">
        <f t="shared" si="94"/>
        <v>100000</v>
      </c>
      <c r="L173" s="10">
        <f t="shared" si="94"/>
        <v>428000</v>
      </c>
      <c r="M173" s="10">
        <f t="shared" si="94"/>
        <v>0</v>
      </c>
      <c r="N173" s="10">
        <f t="shared" si="94"/>
        <v>428000</v>
      </c>
      <c r="O173" s="278">
        <f t="shared" si="94"/>
        <v>2992000</v>
      </c>
      <c r="P173" s="227">
        <f t="shared" si="87"/>
        <v>0.1073279052553664</v>
      </c>
    </row>
    <row r="174" spans="1:16" s="6" customFormat="1" ht="15">
      <c r="A174" s="13" t="s">
        <v>266</v>
      </c>
      <c r="B174" s="279">
        <v>0</v>
      </c>
      <c r="C174" s="32">
        <v>0</v>
      </c>
      <c r="D174" s="32"/>
      <c r="E174" s="32"/>
      <c r="F174" s="32"/>
      <c r="G174" s="32">
        <v>0</v>
      </c>
      <c r="H174" s="32"/>
      <c r="I174" s="32"/>
      <c r="J174" s="32"/>
      <c r="K174" s="32"/>
      <c r="L174" s="32"/>
      <c r="M174" s="32"/>
      <c r="N174" s="32"/>
      <c r="O174" s="279">
        <f aca="true" t="shared" si="95" ref="O174:O183">SUM(C174:N174)</f>
        <v>0</v>
      </c>
      <c r="P174" s="227">
        <v>0</v>
      </c>
    </row>
    <row r="175" spans="1:16" s="6" customFormat="1" ht="15">
      <c r="A175" s="13" t="s">
        <v>310</v>
      </c>
      <c r="B175" s="279"/>
      <c r="C175" s="32"/>
      <c r="D175" s="32"/>
      <c r="E175" s="32"/>
      <c r="F175" s="32"/>
      <c r="G175" s="32"/>
      <c r="H175" s="32"/>
      <c r="I175" s="32"/>
      <c r="J175" s="32"/>
      <c r="K175" s="32">
        <v>100000</v>
      </c>
      <c r="L175" s="32"/>
      <c r="M175" s="32"/>
      <c r="N175" s="32"/>
      <c r="O175" s="279">
        <f t="shared" si="95"/>
        <v>100000</v>
      </c>
      <c r="P175" s="227">
        <v>0</v>
      </c>
    </row>
    <row r="176" spans="1:16" s="6" customFormat="1" ht="15">
      <c r="A176" s="13" t="s">
        <v>668</v>
      </c>
      <c r="B176" s="279">
        <v>302000</v>
      </c>
      <c r="C176" s="32"/>
      <c r="D176" s="8">
        <f>ROUND(((+$B$176*$B$52)+$B$176)/2,-3)</f>
        <v>162000</v>
      </c>
      <c r="E176" s="32"/>
      <c r="F176" s="32"/>
      <c r="G176" s="32"/>
      <c r="H176" s="32"/>
      <c r="I176" s="32"/>
      <c r="J176" s="8">
        <f>ROUND(((+$B$176*$B$52)+$B$176)/2,-3)</f>
        <v>162000</v>
      </c>
      <c r="K176" s="32"/>
      <c r="L176" s="32"/>
      <c r="M176" s="32"/>
      <c r="N176" s="32"/>
      <c r="O176" s="279">
        <f t="shared" si="95"/>
        <v>324000</v>
      </c>
      <c r="P176" s="227">
        <f t="shared" si="87"/>
        <v>0.0728476821192053</v>
      </c>
    </row>
    <row r="177" spans="1:16" s="6" customFormat="1" ht="15">
      <c r="A177" s="13" t="s">
        <v>267</v>
      </c>
      <c r="B177" s="279">
        <f>580000+340000+1180000+160000+140000</f>
        <v>2400000</v>
      </c>
      <c r="C177" s="32"/>
      <c r="D177" s="8">
        <f>ROUND(((+$B$177*$B$52)+$B$177)/6,-3)</f>
        <v>428000</v>
      </c>
      <c r="E177" s="8"/>
      <c r="F177" s="8">
        <f>ROUND(((+$B$177*$B$52)+$B$177)/6,-3)</f>
        <v>428000</v>
      </c>
      <c r="G177" s="8"/>
      <c r="H177" s="8">
        <f>ROUND(((+$B$177*$B$52)+$B$177)/6,-3)</f>
        <v>428000</v>
      </c>
      <c r="I177" s="8"/>
      <c r="J177" s="8">
        <f>ROUND(((+$B$177*$B$52)+$B$177)/6,-3)</f>
        <v>428000</v>
      </c>
      <c r="K177" s="7"/>
      <c r="L177" s="8">
        <f>ROUND(((+$B$177*$B$52)+$B$177)/6,-3)</f>
        <v>428000</v>
      </c>
      <c r="M177" s="7"/>
      <c r="N177" s="8">
        <f>ROUND(((+$B$177*$B$52)+$B$177)/6,-3)</f>
        <v>428000</v>
      </c>
      <c r="O177" s="279">
        <f t="shared" si="95"/>
        <v>2568000</v>
      </c>
      <c r="P177" s="227">
        <f t="shared" si="87"/>
        <v>0.07</v>
      </c>
    </row>
    <row r="178" spans="1:16" ht="15">
      <c r="A178" s="18" t="s">
        <v>65</v>
      </c>
      <c r="B178" s="278">
        <f aca="true" t="shared" si="96" ref="B178:O178">SUM(B179)</f>
        <v>3200000</v>
      </c>
      <c r="C178" s="10">
        <f>SUM(C179)</f>
        <v>0</v>
      </c>
      <c r="D178" s="10">
        <f t="shared" si="96"/>
        <v>489000</v>
      </c>
      <c r="E178" s="10">
        <f t="shared" si="96"/>
        <v>489000</v>
      </c>
      <c r="F178" s="10">
        <f t="shared" si="96"/>
        <v>489000</v>
      </c>
      <c r="G178" s="10">
        <f t="shared" si="96"/>
        <v>0</v>
      </c>
      <c r="H178" s="10">
        <f t="shared" si="96"/>
        <v>489000</v>
      </c>
      <c r="I178" s="10">
        <f t="shared" si="96"/>
        <v>489000</v>
      </c>
      <c r="J178" s="10">
        <f t="shared" si="96"/>
        <v>0</v>
      </c>
      <c r="K178" s="10">
        <f t="shared" si="96"/>
        <v>0</v>
      </c>
      <c r="L178" s="10">
        <f t="shared" si="96"/>
        <v>489000</v>
      </c>
      <c r="M178" s="10">
        <f t="shared" si="96"/>
        <v>0</v>
      </c>
      <c r="N178" s="10">
        <f t="shared" si="96"/>
        <v>489000</v>
      </c>
      <c r="O178" s="278">
        <f t="shared" si="96"/>
        <v>3423000</v>
      </c>
      <c r="P178" s="227">
        <f t="shared" si="87"/>
        <v>0.0696875</v>
      </c>
    </row>
    <row r="179" spans="1:16" s="6" customFormat="1" ht="15">
      <c r="A179" s="13" t="s">
        <v>270</v>
      </c>
      <c r="B179" s="279">
        <v>3200000</v>
      </c>
      <c r="C179" s="8"/>
      <c r="D179" s="8">
        <f>ROUND(((+$B$179*$B$52)+$B$179)/7,-3)</f>
        <v>489000</v>
      </c>
      <c r="E179" s="8">
        <f>ROUND(((+$B$179*$B$52)+$B$179)/7,-3)</f>
        <v>489000</v>
      </c>
      <c r="F179" s="8">
        <f>ROUND(((+$B$179*$B$52)+$B$179)/7,-3)</f>
        <v>489000</v>
      </c>
      <c r="G179" s="8"/>
      <c r="H179" s="8">
        <f>ROUND(((+$B$179*$B$52)+$B$179)/7,-3)</f>
        <v>489000</v>
      </c>
      <c r="I179" s="8">
        <f>ROUND(((+$B$179*$B$52)+$B$179)/7,-3)</f>
        <v>489000</v>
      </c>
      <c r="J179" s="8">
        <v>0</v>
      </c>
      <c r="K179" s="7"/>
      <c r="L179" s="8">
        <f>ROUND(((+$B$179*$B$52)+$B$179)/7,-3)</f>
        <v>489000</v>
      </c>
      <c r="M179" s="7"/>
      <c r="N179" s="8">
        <f>ROUND(((+$B$179*$B$52)+$B$179)/7,-3)</f>
        <v>489000</v>
      </c>
      <c r="O179" s="279">
        <f t="shared" si="95"/>
        <v>3423000</v>
      </c>
      <c r="P179" s="227">
        <f t="shared" si="87"/>
        <v>0.0696875</v>
      </c>
    </row>
    <row r="180" spans="1:16" ht="15">
      <c r="A180" s="18" t="s">
        <v>67</v>
      </c>
      <c r="B180" s="278">
        <f aca="true" t="shared" si="97" ref="B180:O180">SUM(B181:B182)</f>
        <v>1400000</v>
      </c>
      <c r="C180" s="10">
        <f>SUM(C181:C182)</f>
        <v>0</v>
      </c>
      <c r="D180" s="10">
        <f t="shared" si="97"/>
        <v>150000</v>
      </c>
      <c r="E180" s="10">
        <f t="shared" si="97"/>
        <v>150000</v>
      </c>
      <c r="F180" s="10">
        <f t="shared" si="97"/>
        <v>150000</v>
      </c>
      <c r="G180" s="10">
        <f t="shared" si="97"/>
        <v>150000</v>
      </c>
      <c r="H180" s="10">
        <f t="shared" si="97"/>
        <v>150000</v>
      </c>
      <c r="I180" s="10">
        <f t="shared" si="97"/>
        <v>150000</v>
      </c>
      <c r="J180" s="10">
        <f t="shared" si="97"/>
        <v>150000</v>
      </c>
      <c r="K180" s="10">
        <f t="shared" si="97"/>
        <v>150000</v>
      </c>
      <c r="L180" s="10">
        <f t="shared" si="97"/>
        <v>150000</v>
      </c>
      <c r="M180" s="10">
        <f t="shared" si="97"/>
        <v>150000</v>
      </c>
      <c r="N180" s="10">
        <f t="shared" si="97"/>
        <v>0</v>
      </c>
      <c r="O180" s="278">
        <f t="shared" si="97"/>
        <v>1500000</v>
      </c>
      <c r="P180" s="227">
        <f t="shared" si="87"/>
        <v>0.07142857142857142</v>
      </c>
    </row>
    <row r="181" spans="1:16" ht="15">
      <c r="A181" s="13" t="s">
        <v>268</v>
      </c>
      <c r="B181" s="279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279">
        <f t="shared" si="95"/>
        <v>0</v>
      </c>
      <c r="P181" s="227">
        <v>0</v>
      </c>
    </row>
    <row r="182" spans="1:16" ht="15">
      <c r="A182" s="13" t="s">
        <v>269</v>
      </c>
      <c r="B182" s="279">
        <v>1400000</v>
      </c>
      <c r="C182" s="8"/>
      <c r="D182" s="8">
        <f aca="true" t="shared" si="98" ref="D182:M182">ROUND(((+$B$182*$B$52)+$B$182)/10,-3)</f>
        <v>150000</v>
      </c>
      <c r="E182" s="8">
        <f t="shared" si="98"/>
        <v>150000</v>
      </c>
      <c r="F182" s="8">
        <f t="shared" si="98"/>
        <v>150000</v>
      </c>
      <c r="G182" s="8">
        <f t="shared" si="98"/>
        <v>150000</v>
      </c>
      <c r="H182" s="8">
        <f t="shared" si="98"/>
        <v>150000</v>
      </c>
      <c r="I182" s="8">
        <f t="shared" si="98"/>
        <v>150000</v>
      </c>
      <c r="J182" s="8">
        <f t="shared" si="98"/>
        <v>150000</v>
      </c>
      <c r="K182" s="8">
        <f t="shared" si="98"/>
        <v>150000</v>
      </c>
      <c r="L182" s="8">
        <f t="shared" si="98"/>
        <v>150000</v>
      </c>
      <c r="M182" s="8">
        <f t="shared" si="98"/>
        <v>150000</v>
      </c>
      <c r="N182" s="8"/>
      <c r="O182" s="279">
        <f t="shared" si="95"/>
        <v>1500000</v>
      </c>
      <c r="P182" s="227">
        <f t="shared" si="87"/>
        <v>0.07142857142857142</v>
      </c>
    </row>
    <row r="183" spans="1:16" s="6" customFormat="1" ht="15">
      <c r="A183" s="18" t="s">
        <v>68</v>
      </c>
      <c r="B183" s="279">
        <v>7500000</v>
      </c>
      <c r="C183" s="10">
        <v>500000</v>
      </c>
      <c r="D183" s="10">
        <v>500000</v>
      </c>
      <c r="E183" s="10">
        <v>500000</v>
      </c>
      <c r="F183" s="10">
        <v>500000</v>
      </c>
      <c r="G183" s="10">
        <v>500000</v>
      </c>
      <c r="H183" s="10">
        <v>500000</v>
      </c>
      <c r="I183" s="10">
        <v>500000</v>
      </c>
      <c r="J183" s="10">
        <v>500000</v>
      </c>
      <c r="K183" s="10">
        <v>500000</v>
      </c>
      <c r="L183" s="10">
        <v>500000</v>
      </c>
      <c r="M183" s="10">
        <v>500000</v>
      </c>
      <c r="N183" s="10">
        <v>500000</v>
      </c>
      <c r="O183" s="278">
        <f t="shared" si="95"/>
        <v>6000000</v>
      </c>
      <c r="P183" s="227">
        <f t="shared" si="87"/>
        <v>-0.2</v>
      </c>
    </row>
    <row r="184" spans="1:16" ht="15">
      <c r="A184" s="18" t="s">
        <v>62</v>
      </c>
      <c r="B184" s="278">
        <f aca="true" t="shared" si="99" ref="B184:O184">SUM(B185:B187)</f>
        <v>103180000</v>
      </c>
      <c r="C184" s="10">
        <f t="shared" si="99"/>
        <v>9102000</v>
      </c>
      <c r="D184" s="10">
        <f t="shared" si="99"/>
        <v>9102000</v>
      </c>
      <c r="E184" s="10">
        <f t="shared" si="99"/>
        <v>9102000</v>
      </c>
      <c r="F184" s="10">
        <f t="shared" si="99"/>
        <v>9102000</v>
      </c>
      <c r="G184" s="10">
        <f t="shared" si="99"/>
        <v>9102000</v>
      </c>
      <c r="H184" s="10">
        <f t="shared" si="99"/>
        <v>9102000</v>
      </c>
      <c r="I184" s="10">
        <f t="shared" si="99"/>
        <v>9102000</v>
      </c>
      <c r="J184" s="10">
        <f t="shared" si="99"/>
        <v>9102000</v>
      </c>
      <c r="K184" s="10">
        <f t="shared" si="99"/>
        <v>9102000</v>
      </c>
      <c r="L184" s="10">
        <f t="shared" si="99"/>
        <v>9102000</v>
      </c>
      <c r="M184" s="10">
        <f t="shared" si="99"/>
        <v>9102000</v>
      </c>
      <c r="N184" s="10">
        <f t="shared" si="99"/>
        <v>9102000</v>
      </c>
      <c r="O184" s="278">
        <f t="shared" si="99"/>
        <v>109224000</v>
      </c>
      <c r="P184" s="227">
        <f t="shared" si="87"/>
        <v>0.05857724365187052</v>
      </c>
    </row>
    <row r="185" spans="1:16" ht="15">
      <c r="A185" s="13" t="s">
        <v>54</v>
      </c>
      <c r="B185" s="279">
        <v>61700000</v>
      </c>
      <c r="C185" s="8">
        <f aca="true" t="shared" si="100" ref="C185:N185">ROUND(((+$B$185*$B$52)+$B$185)/12,-3)</f>
        <v>5502000</v>
      </c>
      <c r="D185" s="8">
        <f t="shared" si="100"/>
        <v>5502000</v>
      </c>
      <c r="E185" s="8">
        <f t="shared" si="100"/>
        <v>5502000</v>
      </c>
      <c r="F185" s="8">
        <f t="shared" si="100"/>
        <v>5502000</v>
      </c>
      <c r="G185" s="8">
        <f t="shared" si="100"/>
        <v>5502000</v>
      </c>
      <c r="H185" s="8">
        <f t="shared" si="100"/>
        <v>5502000</v>
      </c>
      <c r="I185" s="8">
        <f t="shared" si="100"/>
        <v>5502000</v>
      </c>
      <c r="J185" s="8">
        <f t="shared" si="100"/>
        <v>5502000</v>
      </c>
      <c r="K185" s="8">
        <f t="shared" si="100"/>
        <v>5502000</v>
      </c>
      <c r="L185" s="8">
        <f t="shared" si="100"/>
        <v>5502000</v>
      </c>
      <c r="M185" s="8">
        <f t="shared" si="100"/>
        <v>5502000</v>
      </c>
      <c r="N185" s="8">
        <f t="shared" si="100"/>
        <v>5502000</v>
      </c>
      <c r="O185" s="279">
        <f aca="true" t="shared" si="101" ref="O185:O187">SUM(C185:N185)</f>
        <v>66024000</v>
      </c>
      <c r="P185" s="227">
        <f aca="true" t="shared" si="102" ref="P185">+(O185-B185)/B185</f>
        <v>0.07008103727714748</v>
      </c>
    </row>
    <row r="186" spans="1:16" ht="15">
      <c r="A186" s="13" t="s">
        <v>57</v>
      </c>
      <c r="B186" s="279">
        <v>23760000</v>
      </c>
      <c r="C186" s="8">
        <v>2100000</v>
      </c>
      <c r="D186" s="8">
        <v>2100000</v>
      </c>
      <c r="E186" s="8">
        <v>2100000</v>
      </c>
      <c r="F186" s="8">
        <v>2100000</v>
      </c>
      <c r="G186" s="8">
        <v>2100000</v>
      </c>
      <c r="H186" s="8">
        <v>2100000</v>
      </c>
      <c r="I186" s="8">
        <v>2100000</v>
      </c>
      <c r="J186" s="8">
        <v>2100000</v>
      </c>
      <c r="K186" s="8">
        <v>2100000</v>
      </c>
      <c r="L186" s="8">
        <v>2100000</v>
      </c>
      <c r="M186" s="8">
        <v>2100000</v>
      </c>
      <c r="N186" s="8">
        <v>2100000</v>
      </c>
      <c r="O186" s="279">
        <f t="shared" si="101"/>
        <v>25200000</v>
      </c>
      <c r="P186" s="227">
        <f t="shared" si="87"/>
        <v>0.06060606060606061</v>
      </c>
    </row>
    <row r="187" spans="1:16" ht="15">
      <c r="A187" s="13" t="s">
        <v>70</v>
      </c>
      <c r="B187" s="279">
        <v>17720000</v>
      </c>
      <c r="C187" s="8">
        <v>1500000</v>
      </c>
      <c r="D187" s="8">
        <v>1500000</v>
      </c>
      <c r="E187" s="8">
        <v>1500000</v>
      </c>
      <c r="F187" s="8">
        <v>1500000</v>
      </c>
      <c r="G187" s="8">
        <v>1500000</v>
      </c>
      <c r="H187" s="8">
        <v>1500000</v>
      </c>
      <c r="I187" s="8">
        <v>1500000</v>
      </c>
      <c r="J187" s="8">
        <v>1500000</v>
      </c>
      <c r="K187" s="8">
        <v>1500000</v>
      </c>
      <c r="L187" s="8">
        <v>1500000</v>
      </c>
      <c r="M187" s="8">
        <v>1500000</v>
      </c>
      <c r="N187" s="8">
        <v>1500000</v>
      </c>
      <c r="O187" s="279">
        <f t="shared" si="101"/>
        <v>18000000</v>
      </c>
      <c r="P187" s="227">
        <f t="shared" si="87"/>
        <v>0.01580135440180587</v>
      </c>
    </row>
    <row r="188" spans="1:16" s="6" customFormat="1" ht="15">
      <c r="A188" s="18" t="s">
        <v>71</v>
      </c>
      <c r="B188" s="278">
        <v>0</v>
      </c>
      <c r="C188" s="10">
        <f>+C189</f>
        <v>0</v>
      </c>
      <c r="D188" s="10">
        <f aca="true" t="shared" si="103" ref="D188:O188">+D189</f>
        <v>0</v>
      </c>
      <c r="E188" s="10">
        <f t="shared" si="103"/>
        <v>0</v>
      </c>
      <c r="F188" s="10">
        <f t="shared" si="103"/>
        <v>0</v>
      </c>
      <c r="G188" s="10">
        <f t="shared" si="103"/>
        <v>0</v>
      </c>
      <c r="H188" s="10">
        <f t="shared" si="103"/>
        <v>0</v>
      </c>
      <c r="I188" s="10">
        <f t="shared" si="103"/>
        <v>0</v>
      </c>
      <c r="J188" s="10">
        <f t="shared" si="103"/>
        <v>0</v>
      </c>
      <c r="K188" s="10">
        <f t="shared" si="103"/>
        <v>0</v>
      </c>
      <c r="L188" s="10">
        <f t="shared" si="103"/>
        <v>0</v>
      </c>
      <c r="M188" s="10">
        <f t="shared" si="103"/>
        <v>0</v>
      </c>
      <c r="N188" s="10">
        <f t="shared" si="103"/>
        <v>0</v>
      </c>
      <c r="O188" s="278">
        <f t="shared" si="103"/>
        <v>0</v>
      </c>
      <c r="P188" s="227">
        <v>0</v>
      </c>
    </row>
    <row r="189" spans="1:16" ht="15">
      <c r="A189" s="18" t="s">
        <v>72</v>
      </c>
      <c r="B189" s="278">
        <f aca="true" t="shared" si="104" ref="B189:O189">SUM(B190:B190)</f>
        <v>0</v>
      </c>
      <c r="C189" s="10">
        <f t="shared" si="104"/>
        <v>0</v>
      </c>
      <c r="D189" s="10">
        <f t="shared" si="104"/>
        <v>0</v>
      </c>
      <c r="E189" s="10">
        <f t="shared" si="104"/>
        <v>0</v>
      </c>
      <c r="F189" s="10">
        <f t="shared" si="104"/>
        <v>0</v>
      </c>
      <c r="G189" s="10">
        <f t="shared" si="104"/>
        <v>0</v>
      </c>
      <c r="H189" s="10">
        <f t="shared" si="104"/>
        <v>0</v>
      </c>
      <c r="I189" s="10">
        <f t="shared" si="104"/>
        <v>0</v>
      </c>
      <c r="J189" s="10">
        <f t="shared" si="104"/>
        <v>0</v>
      </c>
      <c r="K189" s="10">
        <f t="shared" si="104"/>
        <v>0</v>
      </c>
      <c r="L189" s="10">
        <f t="shared" si="104"/>
        <v>0</v>
      </c>
      <c r="M189" s="10">
        <f t="shared" si="104"/>
        <v>0</v>
      </c>
      <c r="N189" s="10">
        <f t="shared" si="104"/>
        <v>0</v>
      </c>
      <c r="O189" s="278">
        <f t="shared" si="104"/>
        <v>0</v>
      </c>
      <c r="P189" s="227">
        <v>0</v>
      </c>
    </row>
    <row r="190" spans="1:16" ht="15">
      <c r="A190" s="13" t="s">
        <v>126</v>
      </c>
      <c r="B190" s="279">
        <v>0</v>
      </c>
      <c r="C190" s="8"/>
      <c r="D190" s="8"/>
      <c r="E190" s="8"/>
      <c r="F190" s="8">
        <v>0</v>
      </c>
      <c r="G190" s="8"/>
      <c r="H190" s="8"/>
      <c r="I190" s="8"/>
      <c r="J190" s="8"/>
      <c r="K190" s="8"/>
      <c r="L190" s="8"/>
      <c r="M190" s="8"/>
      <c r="N190" s="8"/>
      <c r="O190" s="279">
        <f aca="true" t="shared" si="105" ref="O190">SUM(C190:N190)</f>
        <v>0</v>
      </c>
      <c r="P190" s="227">
        <v>0</v>
      </c>
    </row>
    <row r="191" spans="1:16" s="6" customFormat="1" ht="15">
      <c r="A191" s="18" t="s">
        <v>75</v>
      </c>
      <c r="B191" s="278">
        <f aca="true" t="shared" si="106" ref="B191:O191">+B192+B194+B197+B200+B202+B203+B213+B214</f>
        <v>39166026</v>
      </c>
      <c r="C191" s="10">
        <f t="shared" si="106"/>
        <v>2805477.3440543027</v>
      </c>
      <c r="D191" s="10">
        <f t="shared" si="106"/>
        <v>2418999.9820612306</v>
      </c>
      <c r="E191" s="10">
        <f t="shared" si="106"/>
        <v>2877910.3281188887</v>
      </c>
      <c r="F191" s="10">
        <f t="shared" si="106"/>
        <v>4487344.853598641</v>
      </c>
      <c r="G191" s="10">
        <f t="shared" si="106"/>
        <v>2442170.822471028</v>
      </c>
      <c r="H191" s="10">
        <f t="shared" si="106"/>
        <v>5455209.836924233</v>
      </c>
      <c r="I191" s="10">
        <f t="shared" si="106"/>
        <v>1937303.130435926</v>
      </c>
      <c r="J191" s="10">
        <f t="shared" si="106"/>
        <v>6652293.878926812</v>
      </c>
      <c r="K191" s="10">
        <f t="shared" si="106"/>
        <v>4193997.279302991</v>
      </c>
      <c r="L191" s="10">
        <f t="shared" si="106"/>
        <v>2534042.6929182084</v>
      </c>
      <c r="M191" s="10">
        <f t="shared" si="106"/>
        <v>4140499.9007918267</v>
      </c>
      <c r="N191" s="10">
        <f t="shared" si="106"/>
        <v>3738749.9503959133</v>
      </c>
      <c r="O191" s="278">
        <f t="shared" si="106"/>
        <v>43684000</v>
      </c>
      <c r="P191" s="227">
        <f t="shared" si="87"/>
        <v>0.11535441456327482</v>
      </c>
    </row>
    <row r="192" spans="1:16" ht="15">
      <c r="A192" s="18" t="s">
        <v>76</v>
      </c>
      <c r="B192" s="278">
        <f aca="true" t="shared" si="107" ref="B192:O192">SUM(B193:B193)</f>
        <v>0</v>
      </c>
      <c r="C192" s="10">
        <f t="shared" si="107"/>
        <v>0</v>
      </c>
      <c r="D192" s="10">
        <f t="shared" si="107"/>
        <v>0</v>
      </c>
      <c r="E192" s="10">
        <f t="shared" si="107"/>
        <v>0</v>
      </c>
      <c r="F192" s="10">
        <f t="shared" si="107"/>
        <v>0</v>
      </c>
      <c r="G192" s="10">
        <f t="shared" si="107"/>
        <v>0</v>
      </c>
      <c r="H192" s="10">
        <f t="shared" si="107"/>
        <v>0</v>
      </c>
      <c r="I192" s="10">
        <f t="shared" si="107"/>
        <v>0</v>
      </c>
      <c r="J192" s="10">
        <f t="shared" si="107"/>
        <v>0</v>
      </c>
      <c r="K192" s="10">
        <f t="shared" si="107"/>
        <v>0</v>
      </c>
      <c r="L192" s="10">
        <f t="shared" si="107"/>
        <v>0</v>
      </c>
      <c r="M192" s="10">
        <f t="shared" si="107"/>
        <v>0</v>
      </c>
      <c r="N192" s="10">
        <f t="shared" si="107"/>
        <v>0</v>
      </c>
      <c r="O192" s="278">
        <f t="shared" si="107"/>
        <v>0</v>
      </c>
      <c r="P192" s="227">
        <v>0</v>
      </c>
    </row>
    <row r="193" spans="1:16" s="6" customFormat="1" ht="15">
      <c r="A193" s="13" t="s">
        <v>141</v>
      </c>
      <c r="B193" s="279">
        <v>0</v>
      </c>
      <c r="C193" s="8"/>
      <c r="D193" s="7"/>
      <c r="E193" s="8"/>
      <c r="F193" s="8">
        <f>ROUND(((+$B$193*$B$52)+$B$193)/2,-3)</f>
        <v>0</v>
      </c>
      <c r="G193" s="7"/>
      <c r="H193" s="7"/>
      <c r="I193" s="7"/>
      <c r="J193" s="7"/>
      <c r="K193" s="8">
        <f>ROUND(((+$B$193*$B$52)+$B$193)/2,-3)</f>
        <v>0</v>
      </c>
      <c r="L193" s="7"/>
      <c r="M193" s="7"/>
      <c r="N193" s="7"/>
      <c r="O193" s="279">
        <f aca="true" t="shared" si="108" ref="O193:O228">SUM(C193:N193)</f>
        <v>0</v>
      </c>
      <c r="P193" s="227">
        <v>0</v>
      </c>
    </row>
    <row r="194" spans="1:16" ht="15">
      <c r="A194" s="18" t="s">
        <v>77</v>
      </c>
      <c r="B194" s="278">
        <f aca="true" t="shared" si="109" ref="B194:O194">SUM(B195:B196)</f>
        <v>1080000</v>
      </c>
      <c r="C194" s="10">
        <f>SUM(C195:C196)</f>
        <v>159000</v>
      </c>
      <c r="D194" s="10">
        <f t="shared" si="109"/>
        <v>34000</v>
      </c>
      <c r="E194" s="10">
        <f t="shared" si="109"/>
        <v>159000</v>
      </c>
      <c r="F194" s="10">
        <f t="shared" si="109"/>
        <v>34000</v>
      </c>
      <c r="G194" s="10">
        <f t="shared" si="109"/>
        <v>159000</v>
      </c>
      <c r="H194" s="10">
        <f t="shared" si="109"/>
        <v>34000</v>
      </c>
      <c r="I194" s="10">
        <f t="shared" si="109"/>
        <v>159000</v>
      </c>
      <c r="J194" s="10">
        <f t="shared" si="109"/>
        <v>34000</v>
      </c>
      <c r="K194" s="10">
        <f t="shared" si="109"/>
        <v>159000</v>
      </c>
      <c r="L194" s="10">
        <f t="shared" si="109"/>
        <v>34000</v>
      </c>
      <c r="M194" s="10">
        <f t="shared" si="109"/>
        <v>159000</v>
      </c>
      <c r="N194" s="10">
        <f t="shared" si="109"/>
        <v>34000</v>
      </c>
      <c r="O194" s="278">
        <f t="shared" si="109"/>
        <v>1158000</v>
      </c>
      <c r="P194" s="227">
        <f t="shared" si="87"/>
        <v>0.07222222222222222</v>
      </c>
    </row>
    <row r="195" spans="1:16" ht="15">
      <c r="A195" s="13" t="s">
        <v>78</v>
      </c>
      <c r="B195" s="279">
        <v>380000</v>
      </c>
      <c r="C195" s="8">
        <f aca="true" t="shared" si="110" ref="C195:N195">ROUND(((+$B$195*$B$52)+$B$195)/12,-3)</f>
        <v>34000</v>
      </c>
      <c r="D195" s="8">
        <f t="shared" si="110"/>
        <v>34000</v>
      </c>
      <c r="E195" s="8">
        <f t="shared" si="110"/>
        <v>34000</v>
      </c>
      <c r="F195" s="8">
        <f t="shared" si="110"/>
        <v>34000</v>
      </c>
      <c r="G195" s="8">
        <f t="shared" si="110"/>
        <v>34000</v>
      </c>
      <c r="H195" s="8">
        <f t="shared" si="110"/>
        <v>34000</v>
      </c>
      <c r="I195" s="8">
        <f t="shared" si="110"/>
        <v>34000</v>
      </c>
      <c r="J195" s="8">
        <f t="shared" si="110"/>
        <v>34000</v>
      </c>
      <c r="K195" s="8">
        <f t="shared" si="110"/>
        <v>34000</v>
      </c>
      <c r="L195" s="8">
        <f t="shared" si="110"/>
        <v>34000</v>
      </c>
      <c r="M195" s="8">
        <f t="shared" si="110"/>
        <v>34000</v>
      </c>
      <c r="N195" s="8">
        <f t="shared" si="110"/>
        <v>34000</v>
      </c>
      <c r="O195" s="279">
        <f t="shared" si="108"/>
        <v>408000</v>
      </c>
      <c r="P195" s="227">
        <f t="shared" si="87"/>
        <v>0.07368421052631578</v>
      </c>
    </row>
    <row r="196" spans="1:16" s="6" customFormat="1" ht="15">
      <c r="A196" s="13" t="s">
        <v>79</v>
      </c>
      <c r="B196" s="279">
        <v>700000</v>
      </c>
      <c r="C196" s="8">
        <f>ROUND(((+$B$196*$B$52)+$B$196)/6,-3)</f>
        <v>125000</v>
      </c>
      <c r="D196" s="8"/>
      <c r="E196" s="8">
        <f>ROUND(((+$B$196*$B$52)+$B$196)/6,-3)</f>
        <v>125000</v>
      </c>
      <c r="F196" s="8"/>
      <c r="G196" s="8">
        <f>ROUND(((+$B$196*$B$52)+$B$196)/6,-3)</f>
        <v>125000</v>
      </c>
      <c r="H196" s="8"/>
      <c r="I196" s="8">
        <f>ROUND(((+$B$196*$B$52)+$B$196)/6,-3)</f>
        <v>125000</v>
      </c>
      <c r="J196" s="8" t="s">
        <v>237</v>
      </c>
      <c r="K196" s="8">
        <f>ROUND(((+$B$196*$B$52)+$B$196)/6,-3)</f>
        <v>125000</v>
      </c>
      <c r="L196" s="8" t="s">
        <v>237</v>
      </c>
      <c r="M196" s="8">
        <f>ROUND(((+$B$196*$B$52)+$B$196)/6,-3)</f>
        <v>125000</v>
      </c>
      <c r="N196" s="8" t="s">
        <v>237</v>
      </c>
      <c r="O196" s="279">
        <f t="shared" si="108"/>
        <v>750000</v>
      </c>
      <c r="P196" s="227">
        <f t="shared" si="87"/>
        <v>0.07142857142857142</v>
      </c>
    </row>
    <row r="197" spans="1:16" ht="15">
      <c r="A197" s="18" t="s">
        <v>80</v>
      </c>
      <c r="B197" s="278">
        <f aca="true" t="shared" si="111" ref="B197:O197">SUM(B198:B199)</f>
        <v>613000</v>
      </c>
      <c r="C197" s="10">
        <f t="shared" si="111"/>
        <v>1000</v>
      </c>
      <c r="D197" s="10">
        <f t="shared" si="111"/>
        <v>215000</v>
      </c>
      <c r="E197" s="10">
        <f t="shared" si="111"/>
        <v>1000</v>
      </c>
      <c r="F197" s="10">
        <f t="shared" si="111"/>
        <v>1000</v>
      </c>
      <c r="G197" s="10">
        <f t="shared" si="111"/>
        <v>1000</v>
      </c>
      <c r="H197" s="10">
        <f t="shared" si="111"/>
        <v>215000</v>
      </c>
      <c r="I197" s="10">
        <f t="shared" si="111"/>
        <v>1000</v>
      </c>
      <c r="J197" s="10">
        <f t="shared" si="111"/>
        <v>1000</v>
      </c>
      <c r="K197" s="10">
        <f t="shared" si="111"/>
        <v>10000</v>
      </c>
      <c r="L197" s="10">
        <f t="shared" si="111"/>
        <v>215000</v>
      </c>
      <c r="M197" s="10">
        <f t="shared" si="111"/>
        <v>1000</v>
      </c>
      <c r="N197" s="10">
        <f t="shared" si="111"/>
        <v>1000</v>
      </c>
      <c r="O197" s="278">
        <f t="shared" si="111"/>
        <v>663000</v>
      </c>
      <c r="P197" s="227">
        <f t="shared" si="87"/>
        <v>0.08156606851549755</v>
      </c>
    </row>
    <row r="198" spans="1:16" ht="15">
      <c r="A198" s="13" t="s">
        <v>81</v>
      </c>
      <c r="B198" s="279">
        <v>600000</v>
      </c>
      <c r="C198" s="8"/>
      <c r="D198" s="8">
        <f>ROUND(((+$B$198*$B$52)+$B$198)/3,-3)</f>
        <v>214000</v>
      </c>
      <c r="E198" s="7"/>
      <c r="F198" s="8"/>
      <c r="G198" s="7"/>
      <c r="H198" s="8">
        <f>ROUND(((+$B$198*$B$52)+$B$198)/3,-3)</f>
        <v>214000</v>
      </c>
      <c r="I198" s="7"/>
      <c r="J198" s="8"/>
      <c r="K198" s="7"/>
      <c r="L198" s="8">
        <f>ROUND(((+$B$198*$B$52)+$B$198)/3,-3)</f>
        <v>214000</v>
      </c>
      <c r="M198" s="7"/>
      <c r="N198" s="8"/>
      <c r="O198" s="279">
        <f t="shared" si="108"/>
        <v>642000</v>
      </c>
      <c r="P198" s="227">
        <f t="shared" si="87"/>
        <v>0.07</v>
      </c>
    </row>
    <row r="199" spans="1:16" s="6" customFormat="1" ht="15">
      <c r="A199" s="13" t="s">
        <v>82</v>
      </c>
      <c r="B199" s="279">
        <v>13000</v>
      </c>
      <c r="C199" s="8">
        <f aca="true" t="shared" si="112" ref="C199:J199">ROUND(((+$B$199*$B$52)+$B$199)/12,-3)</f>
        <v>1000</v>
      </c>
      <c r="D199" s="8">
        <f t="shared" si="112"/>
        <v>1000</v>
      </c>
      <c r="E199" s="8">
        <f t="shared" si="112"/>
        <v>1000</v>
      </c>
      <c r="F199" s="8">
        <f t="shared" si="112"/>
        <v>1000</v>
      </c>
      <c r="G199" s="8">
        <f t="shared" si="112"/>
        <v>1000</v>
      </c>
      <c r="H199" s="8">
        <f t="shared" si="112"/>
        <v>1000</v>
      </c>
      <c r="I199" s="8">
        <f t="shared" si="112"/>
        <v>1000</v>
      </c>
      <c r="J199" s="8">
        <f t="shared" si="112"/>
        <v>1000</v>
      </c>
      <c r="K199" s="8">
        <v>10000</v>
      </c>
      <c r="L199" s="8">
        <f>ROUND(((+$B$199*$B$52)+$B$199)/12,-3)</f>
        <v>1000</v>
      </c>
      <c r="M199" s="8">
        <f>ROUND(((+$B$199*$B$52)+$B$199)/12,-3)</f>
        <v>1000</v>
      </c>
      <c r="N199" s="8">
        <f>ROUND(((+$B$199*$B$52)+$B$199)/12,-3)</f>
        <v>1000</v>
      </c>
      <c r="O199" s="279">
        <f t="shared" si="108"/>
        <v>21000</v>
      </c>
      <c r="P199" s="227">
        <f t="shared" si="87"/>
        <v>0.6153846153846154</v>
      </c>
    </row>
    <row r="200" spans="1:16" ht="15">
      <c r="A200" s="18" t="s">
        <v>83</v>
      </c>
      <c r="B200" s="278">
        <f aca="true" t="shared" si="113" ref="B200:O200">SUM(B201:B201)</f>
        <v>10000</v>
      </c>
      <c r="C200" s="10">
        <f t="shared" si="113"/>
        <v>0</v>
      </c>
      <c r="D200" s="10">
        <f t="shared" si="113"/>
        <v>5000</v>
      </c>
      <c r="E200" s="10">
        <f t="shared" si="113"/>
        <v>0</v>
      </c>
      <c r="F200" s="10">
        <f t="shared" si="113"/>
        <v>5000</v>
      </c>
      <c r="G200" s="10">
        <f t="shared" si="113"/>
        <v>0</v>
      </c>
      <c r="H200" s="10">
        <f t="shared" si="113"/>
        <v>0</v>
      </c>
      <c r="I200" s="10">
        <f t="shared" si="113"/>
        <v>0</v>
      </c>
      <c r="J200" s="10">
        <f t="shared" si="113"/>
        <v>0</v>
      </c>
      <c r="K200" s="10">
        <f t="shared" si="113"/>
        <v>0</v>
      </c>
      <c r="L200" s="10">
        <f t="shared" si="113"/>
        <v>0</v>
      </c>
      <c r="M200" s="10">
        <f t="shared" si="113"/>
        <v>0</v>
      </c>
      <c r="N200" s="10">
        <f t="shared" si="113"/>
        <v>0</v>
      </c>
      <c r="O200" s="278">
        <f t="shared" si="113"/>
        <v>10000</v>
      </c>
      <c r="P200" s="227">
        <f t="shared" si="87"/>
        <v>0</v>
      </c>
    </row>
    <row r="201" spans="1:16" s="6" customFormat="1" ht="15">
      <c r="A201" s="13" t="s">
        <v>448</v>
      </c>
      <c r="B201" s="279">
        <v>10000</v>
      </c>
      <c r="C201" s="32">
        <v>0</v>
      </c>
      <c r="D201" s="8">
        <f>ROUND(((+$B$201*$B$52)+$B$201)/2,-3)</f>
        <v>5000</v>
      </c>
      <c r="E201" s="32">
        <v>0</v>
      </c>
      <c r="F201" s="8">
        <f>ROUND(((+$B$201*$B$52)+$B$201)/2,-3)</f>
        <v>5000</v>
      </c>
      <c r="G201" s="32">
        <v>0</v>
      </c>
      <c r="H201" s="32">
        <v>0</v>
      </c>
      <c r="I201" s="32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279">
        <f t="shared" si="108"/>
        <v>10000</v>
      </c>
      <c r="P201" s="227">
        <f t="shared" si="87"/>
        <v>0</v>
      </c>
    </row>
    <row r="202" spans="1:16" s="6" customFormat="1" ht="15">
      <c r="A202" s="18" t="s">
        <v>84</v>
      </c>
      <c r="B202" s="279">
        <v>230000</v>
      </c>
      <c r="C202" s="10">
        <f aca="true" t="shared" si="114" ref="C202:N202">ROUND(((+$B$202*$B$52)+$B$202)/12,-3)</f>
        <v>21000</v>
      </c>
      <c r="D202" s="10">
        <f t="shared" si="114"/>
        <v>21000</v>
      </c>
      <c r="E202" s="10">
        <f t="shared" si="114"/>
        <v>21000</v>
      </c>
      <c r="F202" s="10">
        <f t="shared" si="114"/>
        <v>21000</v>
      </c>
      <c r="G202" s="10">
        <f t="shared" si="114"/>
        <v>21000</v>
      </c>
      <c r="H202" s="10">
        <f t="shared" si="114"/>
        <v>21000</v>
      </c>
      <c r="I202" s="10">
        <f t="shared" si="114"/>
        <v>21000</v>
      </c>
      <c r="J202" s="10">
        <f t="shared" si="114"/>
        <v>21000</v>
      </c>
      <c r="K202" s="10">
        <f t="shared" si="114"/>
        <v>21000</v>
      </c>
      <c r="L202" s="10">
        <f t="shared" si="114"/>
        <v>21000</v>
      </c>
      <c r="M202" s="10">
        <f t="shared" si="114"/>
        <v>21000</v>
      </c>
      <c r="N202" s="10">
        <f t="shared" si="114"/>
        <v>21000</v>
      </c>
      <c r="O202" s="278">
        <f t="shared" si="108"/>
        <v>252000</v>
      </c>
      <c r="P202" s="227">
        <f t="shared" si="87"/>
        <v>0.09565217391304348</v>
      </c>
    </row>
    <row r="203" spans="1:16" s="6" customFormat="1" ht="15">
      <c r="A203" s="18" t="s">
        <v>85</v>
      </c>
      <c r="B203" s="278">
        <f aca="true" t="shared" si="115" ref="B203:O203">SUM(B204:B212)</f>
        <v>20049191</v>
      </c>
      <c r="C203" s="10">
        <f t="shared" si="115"/>
        <v>282477.34405430284</v>
      </c>
      <c r="D203" s="10">
        <f t="shared" si="115"/>
        <v>1201999.9820612303</v>
      </c>
      <c r="E203" s="10">
        <f t="shared" si="115"/>
        <v>1554910.328118889</v>
      </c>
      <c r="F203" s="10">
        <f t="shared" si="115"/>
        <v>2307344.853598641</v>
      </c>
      <c r="G203" s="10">
        <f t="shared" si="115"/>
        <v>1119170.8224710282</v>
      </c>
      <c r="H203" s="10">
        <f t="shared" si="115"/>
        <v>3343209.8369242325</v>
      </c>
      <c r="I203" s="10">
        <f t="shared" si="115"/>
        <v>914303.1304359258</v>
      </c>
      <c r="J203" s="10">
        <f t="shared" si="115"/>
        <v>5254293.878926812</v>
      </c>
      <c r="K203" s="10">
        <f t="shared" si="115"/>
        <v>2711997.279302991</v>
      </c>
      <c r="L203" s="10">
        <f t="shared" si="115"/>
        <v>822042.6929182082</v>
      </c>
      <c r="M203" s="10">
        <f t="shared" si="115"/>
        <v>3117499.9007918267</v>
      </c>
      <c r="N203" s="10">
        <f t="shared" si="115"/>
        <v>540749.9503959133</v>
      </c>
      <c r="O203" s="278">
        <f t="shared" si="115"/>
        <v>23170000</v>
      </c>
      <c r="P203" s="227">
        <f t="shared" si="87"/>
        <v>0.15565760234415443</v>
      </c>
    </row>
    <row r="204" spans="1:16" s="6" customFormat="1" ht="15">
      <c r="A204" s="13" t="s">
        <v>259</v>
      </c>
      <c r="B204" s="279">
        <f>446722+127880+34482+313997+84800+284000</f>
        <v>1291881</v>
      </c>
      <c r="C204" s="17">
        <v>0</v>
      </c>
      <c r="D204" s="17">
        <v>400000</v>
      </c>
      <c r="E204" s="32"/>
      <c r="F204" s="32">
        <v>400000</v>
      </c>
      <c r="G204" s="32"/>
      <c r="H204" s="32">
        <v>400000</v>
      </c>
      <c r="I204" s="32">
        <v>0</v>
      </c>
      <c r="J204" s="32">
        <v>0</v>
      </c>
      <c r="K204" s="32">
        <v>400000</v>
      </c>
      <c r="L204" s="32">
        <v>0</v>
      </c>
      <c r="M204" s="32">
        <v>2000000</v>
      </c>
      <c r="N204" s="32"/>
      <c r="O204" s="279">
        <f t="shared" si="108"/>
        <v>3600000</v>
      </c>
      <c r="P204" s="227">
        <f t="shared" si="87"/>
        <v>1.7866343726705478</v>
      </c>
    </row>
    <row r="205" spans="1:16" s="6" customFormat="1" ht="15">
      <c r="A205" s="13" t="s">
        <v>672</v>
      </c>
      <c r="B205" s="279">
        <v>100000</v>
      </c>
      <c r="C205" s="8">
        <f>ROUND(((+$B$205*$B$52)+$B$205)/3,-3)</f>
        <v>36000</v>
      </c>
      <c r="D205" s="17"/>
      <c r="E205" s="32"/>
      <c r="F205" s="32"/>
      <c r="G205" s="32"/>
      <c r="H205" s="8">
        <f>ROUND(((+$B$205*$B$52)+$B$205)/3,-3)</f>
        <v>36000</v>
      </c>
      <c r="I205" s="32"/>
      <c r="J205" s="32"/>
      <c r="K205" s="32"/>
      <c r="L205" s="8">
        <f>ROUND(((+$B$205*$B$52)+$B$205)/3,-3)</f>
        <v>36000</v>
      </c>
      <c r="M205" s="32"/>
      <c r="N205" s="32"/>
      <c r="O205" s="279">
        <f aca="true" t="shared" si="116" ref="O205">SUM(C205:N205)</f>
        <v>108000</v>
      </c>
      <c r="P205" s="227">
        <f aca="true" t="shared" si="117" ref="P205">+(O205-B205)/B205</f>
        <v>0.08</v>
      </c>
    </row>
    <row r="206" spans="1:16" s="6" customFormat="1" ht="15">
      <c r="A206" s="13" t="s">
        <v>671</v>
      </c>
      <c r="B206" s="279">
        <v>600000</v>
      </c>
      <c r="C206" s="8">
        <v>0</v>
      </c>
      <c r="D206" s="32"/>
      <c r="E206" s="32"/>
      <c r="F206" s="8">
        <v>0</v>
      </c>
      <c r="G206" s="32"/>
      <c r="H206" s="32"/>
      <c r="I206" s="8">
        <v>0</v>
      </c>
      <c r="J206" s="32"/>
      <c r="K206" s="32"/>
      <c r="L206" s="8">
        <v>0</v>
      </c>
      <c r="M206" s="32"/>
      <c r="N206" s="32"/>
      <c r="O206" s="279">
        <f t="shared" si="108"/>
        <v>0</v>
      </c>
      <c r="P206" s="227">
        <f t="shared" si="87"/>
        <v>-1</v>
      </c>
    </row>
    <row r="207" spans="1:16" s="6" customFormat="1" ht="15">
      <c r="A207" s="13" t="s">
        <v>271</v>
      </c>
      <c r="B207" s="279">
        <f>912146+372200+1503700+997511+304943+1969800+703428+1117300+2634300+1095762+182289+300000+4000000-2000000</f>
        <v>14093379</v>
      </c>
      <c r="C207" s="8">
        <f>+$R$277*C279</f>
        <v>23477.344054302826</v>
      </c>
      <c r="D207" s="8">
        <f aca="true" t="shared" si="118" ref="D207:N207">+$R$277*D279</f>
        <v>319999.9820612304</v>
      </c>
      <c r="E207" s="8">
        <f t="shared" si="118"/>
        <v>1331910.328118889</v>
      </c>
      <c r="F207" s="8">
        <f t="shared" si="118"/>
        <v>1684344.8535986415</v>
      </c>
      <c r="G207" s="8">
        <f t="shared" si="118"/>
        <v>896170.8224710283</v>
      </c>
      <c r="H207" s="8">
        <f>+$R$277*H279-1000000</f>
        <v>2425209.8369242325</v>
      </c>
      <c r="I207" s="8">
        <f t="shared" si="118"/>
        <v>691303.1304359258</v>
      </c>
      <c r="J207" s="8">
        <f>+$R$277*J279-1000000</f>
        <v>5031293.878926812</v>
      </c>
      <c r="K207" s="8">
        <f t="shared" si="118"/>
        <v>1299997.2793029908</v>
      </c>
      <c r="L207" s="8">
        <f t="shared" si="118"/>
        <v>563042.6929182082</v>
      </c>
      <c r="M207" s="8">
        <f t="shared" si="118"/>
        <v>635499.9007918268</v>
      </c>
      <c r="N207" s="8">
        <f t="shared" si="118"/>
        <v>317749.9503959134</v>
      </c>
      <c r="O207" s="279">
        <f t="shared" si="108"/>
        <v>15220000</v>
      </c>
      <c r="P207" s="227">
        <f t="shared" si="87"/>
        <v>0.07993973624068437</v>
      </c>
    </row>
    <row r="208" spans="1:16" s="6" customFormat="1" ht="14.5">
      <c r="A208" s="13" t="s">
        <v>311</v>
      </c>
      <c r="B208" s="279">
        <f>102931+634000</f>
        <v>736931</v>
      </c>
      <c r="C208" s="73"/>
      <c r="D208" s="73"/>
      <c r="E208" s="73"/>
      <c r="F208" s="73"/>
      <c r="G208" s="73"/>
      <c r="H208" s="73"/>
      <c r="I208" s="73"/>
      <c r="J208" s="73"/>
      <c r="K208" s="8">
        <f>ROUND(((+$B$208*$B$52)+$B$208)/1,-3)</f>
        <v>789000</v>
      </c>
      <c r="L208" s="73"/>
      <c r="M208" s="73"/>
      <c r="N208" s="73"/>
      <c r="O208" s="279">
        <f t="shared" si="108"/>
        <v>789000</v>
      </c>
      <c r="P208" s="227">
        <f t="shared" si="87"/>
        <v>0.07065654722083886</v>
      </c>
    </row>
    <row r="209" spans="1:16" s="6" customFormat="1" ht="15">
      <c r="A209" s="13" t="s">
        <v>272</v>
      </c>
      <c r="B209" s="279">
        <v>2500000</v>
      </c>
      <c r="C209" s="8">
        <f aca="true" t="shared" si="119" ref="C209:N209">ROUND(((+$B$209*$B$52)+$B$209)/12,-3)</f>
        <v>223000</v>
      </c>
      <c r="D209" s="8">
        <f t="shared" si="119"/>
        <v>223000</v>
      </c>
      <c r="E209" s="8">
        <f t="shared" si="119"/>
        <v>223000</v>
      </c>
      <c r="F209" s="8">
        <f t="shared" si="119"/>
        <v>223000</v>
      </c>
      <c r="G209" s="8">
        <f t="shared" si="119"/>
        <v>223000</v>
      </c>
      <c r="H209" s="8">
        <f t="shared" si="119"/>
        <v>223000</v>
      </c>
      <c r="I209" s="8">
        <f t="shared" si="119"/>
        <v>223000</v>
      </c>
      <c r="J209" s="8">
        <f t="shared" si="119"/>
        <v>223000</v>
      </c>
      <c r="K209" s="8">
        <f t="shared" si="119"/>
        <v>223000</v>
      </c>
      <c r="L209" s="8">
        <f t="shared" si="119"/>
        <v>223000</v>
      </c>
      <c r="M209" s="8">
        <f t="shared" si="119"/>
        <v>223000</v>
      </c>
      <c r="N209" s="8">
        <f t="shared" si="119"/>
        <v>223000</v>
      </c>
      <c r="O209" s="279">
        <f t="shared" si="108"/>
        <v>2676000</v>
      </c>
      <c r="P209" s="227">
        <f t="shared" si="87"/>
        <v>0.0704</v>
      </c>
    </row>
    <row r="210" spans="1:16" s="6" customFormat="1" ht="15">
      <c r="A210" s="277" t="s">
        <v>568</v>
      </c>
      <c r="B210" s="279">
        <v>0</v>
      </c>
      <c r="C210" s="8"/>
      <c r="D210" s="8"/>
      <c r="E210" s="8"/>
      <c r="F210" s="8"/>
      <c r="G210" s="8"/>
      <c r="H210" s="8"/>
      <c r="I210" s="8"/>
      <c r="J210" s="8">
        <v>0</v>
      </c>
      <c r="K210" s="8">
        <v>0</v>
      </c>
      <c r="L210" s="8">
        <v>0</v>
      </c>
      <c r="M210" s="8"/>
      <c r="N210" s="8">
        <v>0</v>
      </c>
      <c r="O210" s="279">
        <f aca="true" t="shared" si="120" ref="O210:O211">SUM(C210:N210)</f>
        <v>0</v>
      </c>
      <c r="P210" s="227">
        <v>1</v>
      </c>
    </row>
    <row r="211" spans="1:16" s="6" customFormat="1" ht="15">
      <c r="A211" s="13" t="s">
        <v>561</v>
      </c>
      <c r="B211" s="279">
        <v>127000</v>
      </c>
      <c r="C211" s="8">
        <v>0</v>
      </c>
      <c r="D211" s="8">
        <f>ROUND(((+$B$211*$B$52)+$B$211)/3,-3)</f>
        <v>45000</v>
      </c>
      <c r="E211" s="8">
        <v>0</v>
      </c>
      <c r="F211" s="8">
        <v>0</v>
      </c>
      <c r="G211" s="8">
        <v>0</v>
      </c>
      <c r="H211" s="8">
        <f>ROUND(((+$B$211*$B$52)+$B$211)/3,-3)</f>
        <v>45000</v>
      </c>
      <c r="I211" s="8">
        <v>0</v>
      </c>
      <c r="J211" s="8">
        <v>0</v>
      </c>
      <c r="K211" s="8">
        <v>0</v>
      </c>
      <c r="L211" s="8">
        <v>0</v>
      </c>
      <c r="M211" s="8">
        <f>ROUND(((+$B$211*$B$52)+$B$211)/3,-3)</f>
        <v>45000</v>
      </c>
      <c r="N211" s="8">
        <v>0</v>
      </c>
      <c r="O211" s="279">
        <f t="shared" si="120"/>
        <v>135000</v>
      </c>
      <c r="P211" s="227">
        <f t="shared" si="87"/>
        <v>0.06299212598425197</v>
      </c>
    </row>
    <row r="212" spans="1:16" s="6" customFormat="1" ht="15">
      <c r="A212" s="13" t="s">
        <v>454</v>
      </c>
      <c r="B212" s="279">
        <v>600000</v>
      </c>
      <c r="C212" s="8">
        <v>0</v>
      </c>
      <c r="D212" s="8">
        <f>ROUND(((+$B$212*$B$52)+$B$212)/3,-3)</f>
        <v>214000</v>
      </c>
      <c r="E212" s="8">
        <v>0</v>
      </c>
      <c r="F212" s="8">
        <v>0</v>
      </c>
      <c r="G212" s="8">
        <v>0</v>
      </c>
      <c r="H212" s="8">
        <f>ROUND(((+$B$212*$B$52)+$B$212)/3,-3)</f>
        <v>214000</v>
      </c>
      <c r="I212" s="8">
        <v>0</v>
      </c>
      <c r="J212" s="8">
        <v>0</v>
      </c>
      <c r="K212" s="8">
        <v>0</v>
      </c>
      <c r="L212" s="8">
        <v>0</v>
      </c>
      <c r="M212" s="8">
        <f>ROUND(((+$B$212*$B$52)+$B$212)/3,-3)</f>
        <v>214000</v>
      </c>
      <c r="N212" s="8">
        <v>0</v>
      </c>
      <c r="O212" s="279">
        <f t="shared" si="108"/>
        <v>642000</v>
      </c>
      <c r="P212" s="227">
        <f t="shared" si="87"/>
        <v>0.07</v>
      </c>
    </row>
    <row r="213" spans="1:16" s="6" customFormat="1" ht="15">
      <c r="A213" s="18" t="s">
        <v>86</v>
      </c>
      <c r="B213" s="278">
        <v>0</v>
      </c>
      <c r="C213" s="10"/>
      <c r="D213" s="10">
        <f>ROUND(((+$B$213*$B$52)+$B$213)/6,-3)</f>
        <v>0</v>
      </c>
      <c r="E213" s="12"/>
      <c r="F213" s="10">
        <f>ROUND(((+$B$213*$B$52)+$B$213)/6,-3)</f>
        <v>0</v>
      </c>
      <c r="G213" s="12"/>
      <c r="H213" s="10">
        <f>ROUND(((+$B$213*$B$52)+$B$213)/6,-3)</f>
        <v>0</v>
      </c>
      <c r="I213" s="12"/>
      <c r="J213" s="10">
        <f>ROUND(((+$B$213*$B$52)+$B$213)/6,-3)</f>
        <v>0</v>
      </c>
      <c r="K213" s="12"/>
      <c r="L213" s="10">
        <f>ROUND(((+$B$213*$B$52)+$B$213)/6,-3)</f>
        <v>0</v>
      </c>
      <c r="M213" s="12"/>
      <c r="N213" s="10">
        <f>ROUND(((+$B$213*$B$52)+$B$213)/6,-3)</f>
        <v>0</v>
      </c>
      <c r="O213" s="278">
        <f t="shared" si="108"/>
        <v>0</v>
      </c>
      <c r="P213" s="227">
        <v>0</v>
      </c>
    </row>
    <row r="214" spans="1:16" ht="15">
      <c r="A214" s="18" t="s">
        <v>3</v>
      </c>
      <c r="B214" s="278">
        <f aca="true" t="shared" si="121" ref="B214:O214">SUM(B215:B228)</f>
        <v>17183835</v>
      </c>
      <c r="C214" s="10">
        <f t="shared" si="121"/>
        <v>2342000</v>
      </c>
      <c r="D214" s="10">
        <f t="shared" si="121"/>
        <v>942000</v>
      </c>
      <c r="E214" s="10">
        <f t="shared" si="121"/>
        <v>1142000</v>
      </c>
      <c r="F214" s="10">
        <f t="shared" si="121"/>
        <v>2119000</v>
      </c>
      <c r="G214" s="10">
        <f t="shared" si="121"/>
        <v>1142000</v>
      </c>
      <c r="H214" s="10">
        <f t="shared" si="121"/>
        <v>1842000</v>
      </c>
      <c r="I214" s="10">
        <f t="shared" si="121"/>
        <v>842000</v>
      </c>
      <c r="J214" s="10">
        <f t="shared" si="121"/>
        <v>1342000</v>
      </c>
      <c r="K214" s="10">
        <f t="shared" si="121"/>
        <v>1292000</v>
      </c>
      <c r="L214" s="10">
        <f t="shared" si="121"/>
        <v>1442000</v>
      </c>
      <c r="M214" s="10">
        <f t="shared" si="121"/>
        <v>842000</v>
      </c>
      <c r="N214" s="10">
        <f t="shared" si="121"/>
        <v>3142000</v>
      </c>
      <c r="O214" s="278">
        <f t="shared" si="121"/>
        <v>18431000</v>
      </c>
      <c r="P214" s="227">
        <f t="shared" si="87"/>
        <v>0.07257780349962625</v>
      </c>
    </row>
    <row r="215" spans="1:16" s="36" customFormat="1" ht="15">
      <c r="A215" s="365" t="s">
        <v>317</v>
      </c>
      <c r="B215" s="311">
        <f>965517+1821500+370000+495000+330000+165000+100000+150000+266000+1730000-2000000-1000000</f>
        <v>3393017</v>
      </c>
      <c r="C215" s="8">
        <v>392000</v>
      </c>
      <c r="D215" s="8">
        <v>392000</v>
      </c>
      <c r="E215" s="8">
        <v>392000</v>
      </c>
      <c r="F215" s="8">
        <v>392000</v>
      </c>
      <c r="G215" s="8">
        <v>392000</v>
      </c>
      <c r="H215" s="8">
        <v>392000</v>
      </c>
      <c r="I215" s="8">
        <v>392000</v>
      </c>
      <c r="J215" s="8">
        <v>392000</v>
      </c>
      <c r="K215" s="8">
        <v>392000</v>
      </c>
      <c r="L215" s="8">
        <v>392000</v>
      </c>
      <c r="M215" s="8">
        <v>392000</v>
      </c>
      <c r="N215" s="8">
        <v>392000</v>
      </c>
      <c r="O215" s="311">
        <f t="shared" si="108"/>
        <v>4704000</v>
      </c>
      <c r="P215" s="227">
        <f t="shared" si="87"/>
        <v>0.38637678502642336</v>
      </c>
    </row>
    <row r="216" spans="1:16" s="36" customFormat="1" ht="15">
      <c r="A216" s="364" t="s">
        <v>449</v>
      </c>
      <c r="B216" s="311">
        <f>99000+20500+8000+25000+4000+38000+18000+29500+20500+28900+23000+22000+25000+38000+23500+23500+23500+20000</f>
        <v>489900</v>
      </c>
      <c r="C216" s="8">
        <f aca="true" t="shared" si="122" ref="C216:N216">ROUND(((+$B$216*$B$52)+$B$216)/12,-3)</f>
        <v>44000</v>
      </c>
      <c r="D216" s="8">
        <f t="shared" si="122"/>
        <v>44000</v>
      </c>
      <c r="E216" s="8">
        <f t="shared" si="122"/>
        <v>44000</v>
      </c>
      <c r="F216" s="8">
        <f t="shared" si="122"/>
        <v>44000</v>
      </c>
      <c r="G216" s="8">
        <f t="shared" si="122"/>
        <v>44000</v>
      </c>
      <c r="H216" s="8">
        <f t="shared" si="122"/>
        <v>44000</v>
      </c>
      <c r="I216" s="8">
        <f t="shared" si="122"/>
        <v>44000</v>
      </c>
      <c r="J216" s="8">
        <f t="shared" si="122"/>
        <v>44000</v>
      </c>
      <c r="K216" s="8">
        <f t="shared" si="122"/>
        <v>44000</v>
      </c>
      <c r="L216" s="8">
        <f t="shared" si="122"/>
        <v>44000</v>
      </c>
      <c r="M216" s="8">
        <f t="shared" si="122"/>
        <v>44000</v>
      </c>
      <c r="N216" s="8">
        <f t="shared" si="122"/>
        <v>44000</v>
      </c>
      <c r="O216" s="311">
        <f t="shared" si="108"/>
        <v>528000</v>
      </c>
      <c r="P216" s="227">
        <f t="shared" si="87"/>
        <v>0.07777097366809553</v>
      </c>
    </row>
    <row r="217" spans="1:16" s="36" customFormat="1" ht="15">
      <c r="A217" s="167" t="s">
        <v>316</v>
      </c>
      <c r="B217" s="311">
        <f>62000+100000+90000+872000+400000+328000+80800+400000+600000</f>
        <v>2932800</v>
      </c>
      <c r="C217" s="8">
        <f>100000+500000</f>
        <v>600000</v>
      </c>
      <c r="D217" s="8">
        <f>100000+50000+50000</f>
        <v>200000</v>
      </c>
      <c r="E217" s="8">
        <f>150000+100000+150000</f>
        <v>400000</v>
      </c>
      <c r="F217" s="8">
        <f>100000+50000+50000</f>
        <v>200000</v>
      </c>
      <c r="G217" s="8">
        <f>300000+100000</f>
        <v>400000</v>
      </c>
      <c r="H217" s="8">
        <f>200000+100000+300000+150000+100000+150000+50000+50000</f>
        <v>1100000</v>
      </c>
      <c r="I217" s="8">
        <v>100000</v>
      </c>
      <c r="J217" s="8">
        <f>100000+400000+50000+50000</f>
        <v>600000</v>
      </c>
      <c r="K217" s="8">
        <f>300000+100000+150000</f>
        <v>550000</v>
      </c>
      <c r="L217" s="8">
        <f>600000+50000+50000</f>
        <v>700000</v>
      </c>
      <c r="M217" s="8">
        <v>100000</v>
      </c>
      <c r="N217" s="8">
        <f>600000+300000+150000+100000+150000+50000+50000</f>
        <v>1400000</v>
      </c>
      <c r="O217" s="311">
        <f t="shared" si="108"/>
        <v>6350000</v>
      </c>
      <c r="P217" s="227">
        <f t="shared" si="87"/>
        <v>1.165166393889798</v>
      </c>
    </row>
    <row r="218" spans="1:16" s="36" customFormat="1" ht="15">
      <c r="A218" s="167" t="s">
        <v>673</v>
      </c>
      <c r="B218" s="311">
        <v>3000000</v>
      </c>
      <c r="C218" s="8"/>
      <c r="D218" s="8"/>
      <c r="E218" s="8"/>
      <c r="F218" s="8"/>
      <c r="G218" s="8"/>
      <c r="H218" s="8">
        <v>0</v>
      </c>
      <c r="I218" s="8"/>
      <c r="J218" s="8"/>
      <c r="K218" s="8"/>
      <c r="L218" s="8"/>
      <c r="M218" s="8"/>
      <c r="N218" s="8"/>
      <c r="O218" s="311">
        <f aca="true" t="shared" si="123" ref="O218">SUM(C218:N218)</f>
        <v>0</v>
      </c>
      <c r="P218" s="227">
        <f aca="true" t="shared" si="124" ref="P218">+(O218-B218)/B218</f>
        <v>-1</v>
      </c>
    </row>
    <row r="219" spans="1:16" ht="15">
      <c r="A219" s="364" t="s">
        <v>348</v>
      </c>
      <c r="B219" s="279">
        <f>300000+90000+300000+100000+250000+90000+120000</f>
        <v>1250000</v>
      </c>
      <c r="C219" s="8">
        <f aca="true" t="shared" si="125" ref="C219:N219">ROUND(((+$B$219*$B$52)+$B$219)/12,-3)</f>
        <v>111000</v>
      </c>
      <c r="D219" s="8">
        <f t="shared" si="125"/>
        <v>111000</v>
      </c>
      <c r="E219" s="8">
        <f t="shared" si="125"/>
        <v>111000</v>
      </c>
      <c r="F219" s="8">
        <f t="shared" si="125"/>
        <v>111000</v>
      </c>
      <c r="G219" s="8">
        <f t="shared" si="125"/>
        <v>111000</v>
      </c>
      <c r="H219" s="8">
        <f t="shared" si="125"/>
        <v>111000</v>
      </c>
      <c r="I219" s="8">
        <f t="shared" si="125"/>
        <v>111000</v>
      </c>
      <c r="J219" s="8">
        <f t="shared" si="125"/>
        <v>111000</v>
      </c>
      <c r="K219" s="8">
        <f t="shared" si="125"/>
        <v>111000</v>
      </c>
      <c r="L219" s="8">
        <f t="shared" si="125"/>
        <v>111000</v>
      </c>
      <c r="M219" s="8">
        <f t="shared" si="125"/>
        <v>111000</v>
      </c>
      <c r="N219" s="8">
        <f t="shared" si="125"/>
        <v>111000</v>
      </c>
      <c r="O219" s="311">
        <f t="shared" si="108"/>
        <v>1332000</v>
      </c>
      <c r="P219" s="227">
        <f t="shared" si="87"/>
        <v>0.0656</v>
      </c>
    </row>
    <row r="220" spans="1:16" ht="15">
      <c r="A220" s="364" t="s">
        <v>273</v>
      </c>
      <c r="B220" s="279">
        <v>1100000</v>
      </c>
      <c r="C220" s="8"/>
      <c r="D220" s="7"/>
      <c r="E220" s="8"/>
      <c r="F220" s="8">
        <f>ROUND(((+$B$220*$B$52)+$B$220),-3)</f>
        <v>1177000</v>
      </c>
      <c r="G220" s="7"/>
      <c r="H220" s="8"/>
      <c r="I220" s="7"/>
      <c r="J220" s="7"/>
      <c r="K220" s="8"/>
      <c r="L220" s="7"/>
      <c r="M220" s="7"/>
      <c r="N220" s="8"/>
      <c r="O220" s="279">
        <f t="shared" si="108"/>
        <v>1177000</v>
      </c>
      <c r="P220" s="227">
        <f t="shared" si="87"/>
        <v>0.07</v>
      </c>
    </row>
    <row r="221" spans="1:16" ht="15">
      <c r="A221" s="13" t="s">
        <v>3</v>
      </c>
      <c r="B221" s="279">
        <f>88800+30036+4000+10000+64500+19200+61993+81600+23001+39223+129274+43091+40000+17000+150000+87000+170000+32000+309000</f>
        <v>1399718</v>
      </c>
      <c r="C221" s="8">
        <f aca="true" t="shared" si="126" ref="C221:N221">ROUND(((+$B$221*$B$52)+$B$221)/12,-3)</f>
        <v>125000</v>
      </c>
      <c r="D221" s="8">
        <f t="shared" si="126"/>
        <v>125000</v>
      </c>
      <c r="E221" s="8">
        <f t="shared" si="126"/>
        <v>125000</v>
      </c>
      <c r="F221" s="8">
        <f t="shared" si="126"/>
        <v>125000</v>
      </c>
      <c r="G221" s="8">
        <f t="shared" si="126"/>
        <v>125000</v>
      </c>
      <c r="H221" s="8">
        <f t="shared" si="126"/>
        <v>125000</v>
      </c>
      <c r="I221" s="8">
        <f t="shared" si="126"/>
        <v>125000</v>
      </c>
      <c r="J221" s="8">
        <f t="shared" si="126"/>
        <v>125000</v>
      </c>
      <c r="K221" s="8">
        <f t="shared" si="126"/>
        <v>125000</v>
      </c>
      <c r="L221" s="8">
        <f t="shared" si="126"/>
        <v>125000</v>
      </c>
      <c r="M221" s="8">
        <f t="shared" si="126"/>
        <v>125000</v>
      </c>
      <c r="N221" s="8">
        <f t="shared" si="126"/>
        <v>125000</v>
      </c>
      <c r="O221" s="279">
        <f t="shared" si="108"/>
        <v>1500000</v>
      </c>
      <c r="P221" s="227">
        <f aca="true" t="shared" si="127" ref="P221:P228">+(O221-B221)/B221</f>
        <v>0.07164443123543457</v>
      </c>
    </row>
    <row r="222" spans="1:16" ht="15">
      <c r="A222" s="13" t="s">
        <v>562</v>
      </c>
      <c r="B222" s="279">
        <v>0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279">
        <v>0</v>
      </c>
      <c r="P222" s="227">
        <v>0</v>
      </c>
    </row>
    <row r="223" spans="1:16" ht="15">
      <c r="A223" s="13" t="s">
        <v>738</v>
      </c>
      <c r="B223" s="279">
        <f>918400+2000000</f>
        <v>2918400</v>
      </c>
      <c r="C223" s="8">
        <v>1000000</v>
      </c>
      <c r="D223" s="8"/>
      <c r="E223" s="8"/>
      <c r="F223" s="8">
        <v>0</v>
      </c>
      <c r="G223" s="8">
        <v>0</v>
      </c>
      <c r="H223" s="8">
        <v>0</v>
      </c>
      <c r="I223" s="8">
        <v>0</v>
      </c>
      <c r="J223" s="8"/>
      <c r="K223" s="8"/>
      <c r="L223" s="8"/>
      <c r="M223" s="8"/>
      <c r="N223" s="8">
        <v>1000000</v>
      </c>
      <c r="O223" s="279">
        <f t="shared" si="108"/>
        <v>2000000</v>
      </c>
      <c r="P223" s="227">
        <f t="shared" si="127"/>
        <v>-0.31469298245614036</v>
      </c>
    </row>
    <row r="224" spans="1:16" ht="15">
      <c r="A224" s="277" t="s">
        <v>569</v>
      </c>
      <c r="B224" s="279">
        <v>0</v>
      </c>
      <c r="C224" s="8"/>
      <c r="D224" s="8"/>
      <c r="E224" s="8"/>
      <c r="F224" s="8"/>
      <c r="G224" s="8"/>
      <c r="H224" s="8"/>
      <c r="I224" s="8"/>
      <c r="J224" s="8">
        <v>0</v>
      </c>
      <c r="K224" s="8">
        <v>0</v>
      </c>
      <c r="L224" s="8">
        <v>0</v>
      </c>
      <c r="M224" s="8"/>
      <c r="N224" s="8">
        <v>0</v>
      </c>
      <c r="O224" s="279">
        <f t="shared" si="108"/>
        <v>0</v>
      </c>
      <c r="P224" s="227">
        <v>0</v>
      </c>
    </row>
    <row r="225" spans="1:16" ht="15">
      <c r="A225" s="277" t="s">
        <v>570</v>
      </c>
      <c r="B225" s="279">
        <v>0</v>
      </c>
      <c r="C225" s="8"/>
      <c r="D225" s="8"/>
      <c r="E225" s="8"/>
      <c r="F225" s="8"/>
      <c r="G225" s="8"/>
      <c r="H225" s="8"/>
      <c r="I225" s="8"/>
      <c r="J225" s="8">
        <v>0</v>
      </c>
      <c r="K225" s="8">
        <v>0</v>
      </c>
      <c r="L225" s="8">
        <v>0</v>
      </c>
      <c r="M225" s="8"/>
      <c r="N225" s="8">
        <v>0</v>
      </c>
      <c r="O225" s="279">
        <f t="shared" si="108"/>
        <v>0</v>
      </c>
      <c r="P225" s="227">
        <v>0</v>
      </c>
    </row>
    <row r="226" spans="1:16" ht="15">
      <c r="A226" s="277" t="s">
        <v>571</v>
      </c>
      <c r="B226" s="279">
        <v>0</v>
      </c>
      <c r="C226" s="8"/>
      <c r="D226" s="8"/>
      <c r="E226" s="8"/>
      <c r="F226" s="8"/>
      <c r="G226" s="8"/>
      <c r="H226" s="8"/>
      <c r="I226" s="8"/>
      <c r="J226" s="8">
        <v>0</v>
      </c>
      <c r="K226" s="8"/>
      <c r="L226" s="8">
        <v>0</v>
      </c>
      <c r="M226" s="8"/>
      <c r="N226" s="8">
        <v>0</v>
      </c>
      <c r="O226" s="279">
        <f t="shared" si="108"/>
        <v>0</v>
      </c>
      <c r="P226" s="227">
        <v>0</v>
      </c>
    </row>
    <row r="227" spans="1:16" ht="15">
      <c r="A227" s="277" t="s">
        <v>572</v>
      </c>
      <c r="B227" s="279">
        <v>0</v>
      </c>
      <c r="C227" s="8"/>
      <c r="D227" s="8"/>
      <c r="E227" s="8"/>
      <c r="F227" s="8"/>
      <c r="G227" s="8"/>
      <c r="H227" s="8"/>
      <c r="I227" s="8"/>
      <c r="J227" s="8">
        <v>0</v>
      </c>
      <c r="K227" s="8">
        <v>0</v>
      </c>
      <c r="L227" s="8">
        <v>0</v>
      </c>
      <c r="M227" s="8"/>
      <c r="N227" s="8">
        <v>0</v>
      </c>
      <c r="O227" s="279">
        <f t="shared" si="108"/>
        <v>0</v>
      </c>
      <c r="P227" s="227">
        <v>0</v>
      </c>
    </row>
    <row r="228" spans="1:16" ht="15">
      <c r="A228" s="364" t="s">
        <v>318</v>
      </c>
      <c r="B228" s="279">
        <v>700000</v>
      </c>
      <c r="C228" s="8">
        <v>70000</v>
      </c>
      <c r="D228" s="8">
        <v>70000</v>
      </c>
      <c r="E228" s="8">
        <v>70000</v>
      </c>
      <c r="F228" s="8">
        <v>70000</v>
      </c>
      <c r="G228" s="8">
        <v>70000</v>
      </c>
      <c r="H228" s="8">
        <v>70000</v>
      </c>
      <c r="I228" s="8">
        <v>70000</v>
      </c>
      <c r="J228" s="8">
        <v>70000</v>
      </c>
      <c r="K228" s="8">
        <v>70000</v>
      </c>
      <c r="L228" s="8">
        <v>70000</v>
      </c>
      <c r="M228" s="8">
        <v>70000</v>
      </c>
      <c r="N228" s="8">
        <v>70000</v>
      </c>
      <c r="O228" s="279">
        <f t="shared" si="108"/>
        <v>840000</v>
      </c>
      <c r="P228" s="227">
        <f t="shared" si="127"/>
        <v>0.2</v>
      </c>
    </row>
    <row r="229" spans="1:16" s="6" customFormat="1" ht="15">
      <c r="A229" s="18" t="s">
        <v>91</v>
      </c>
      <c r="B229" s="278">
        <f>+B230</f>
        <v>38218202</v>
      </c>
      <c r="C229" s="10">
        <f>+C230</f>
        <v>3170399.9</v>
      </c>
      <c r="D229" s="10">
        <f aca="true" t="shared" si="128" ref="D229:O229">+D230</f>
        <v>2416006.77</v>
      </c>
      <c r="E229" s="10">
        <f t="shared" si="128"/>
        <v>2345962.1</v>
      </c>
      <c r="F229" s="10">
        <f t="shared" si="128"/>
        <v>2356763.42</v>
      </c>
      <c r="G229" s="10">
        <f t="shared" si="128"/>
        <v>2169161.06</v>
      </c>
      <c r="H229" s="10">
        <f t="shared" si="128"/>
        <v>2623557.33</v>
      </c>
      <c r="I229" s="10">
        <f t="shared" si="128"/>
        <v>2022203.3900000001</v>
      </c>
      <c r="J229" s="10">
        <f t="shared" si="128"/>
        <v>1863265.26</v>
      </c>
      <c r="K229" s="10">
        <f t="shared" si="128"/>
        <v>1771265.26</v>
      </c>
      <c r="L229" s="10">
        <f t="shared" si="128"/>
        <v>1679265.26</v>
      </c>
      <c r="M229" s="10">
        <f t="shared" si="128"/>
        <v>1587265.26</v>
      </c>
      <c r="N229" s="10">
        <f t="shared" si="128"/>
        <v>1495265.26</v>
      </c>
      <c r="O229" s="278">
        <f t="shared" si="128"/>
        <v>25500380.27</v>
      </c>
      <c r="P229" s="227">
        <f aca="true" t="shared" si="129" ref="P229:P236">+(O229-B229)/B229</f>
        <v>-0.3327687087424992</v>
      </c>
    </row>
    <row r="230" spans="1:16" s="6" customFormat="1" ht="15">
      <c r="A230" s="18" t="s">
        <v>92</v>
      </c>
      <c r="B230" s="278">
        <f aca="true" t="shared" si="130" ref="B230:O230">SUM(B231:B234)</f>
        <v>38218202</v>
      </c>
      <c r="C230" s="10">
        <f t="shared" si="130"/>
        <v>3170399.9</v>
      </c>
      <c r="D230" s="10">
        <f t="shared" si="130"/>
        <v>2416006.77</v>
      </c>
      <c r="E230" s="10">
        <f t="shared" si="130"/>
        <v>2345962.1</v>
      </c>
      <c r="F230" s="10">
        <f t="shared" si="130"/>
        <v>2356763.42</v>
      </c>
      <c r="G230" s="10">
        <f t="shared" si="130"/>
        <v>2169161.06</v>
      </c>
      <c r="H230" s="10">
        <f t="shared" si="130"/>
        <v>2623557.33</v>
      </c>
      <c r="I230" s="10">
        <f t="shared" si="130"/>
        <v>2022203.3900000001</v>
      </c>
      <c r="J230" s="10">
        <f t="shared" si="130"/>
        <v>1863265.26</v>
      </c>
      <c r="K230" s="10">
        <f t="shared" si="130"/>
        <v>1771265.26</v>
      </c>
      <c r="L230" s="10">
        <f t="shared" si="130"/>
        <v>1679265.26</v>
      </c>
      <c r="M230" s="10">
        <f t="shared" si="130"/>
        <v>1587265.26</v>
      </c>
      <c r="N230" s="10">
        <f t="shared" si="130"/>
        <v>1495265.26</v>
      </c>
      <c r="O230" s="278">
        <f t="shared" si="130"/>
        <v>25500380.27</v>
      </c>
      <c r="P230" s="227">
        <f t="shared" si="129"/>
        <v>-0.3327687087424992</v>
      </c>
    </row>
    <row r="231" spans="1:16" s="6" customFormat="1" ht="15">
      <c r="A231" s="13" t="s">
        <v>93</v>
      </c>
      <c r="B231" s="279">
        <f>+O293</f>
        <v>2791633</v>
      </c>
      <c r="C231" s="8">
        <f>+$Q$293*C298</f>
        <v>769198.3899999999</v>
      </c>
      <c r="D231" s="8">
        <f aca="true" t="shared" si="131" ref="D231:N231">+$Q$293*D298</f>
        <v>249741.21000000002</v>
      </c>
      <c r="E231" s="8">
        <f t="shared" si="131"/>
        <v>210218.62</v>
      </c>
      <c r="F231" s="8">
        <f t="shared" si="131"/>
        <v>338253.75</v>
      </c>
      <c r="G231" s="8">
        <f t="shared" si="131"/>
        <v>232200.7</v>
      </c>
      <c r="H231" s="8">
        <f t="shared" si="131"/>
        <v>268250.07</v>
      </c>
      <c r="I231" s="8">
        <f t="shared" si="131"/>
        <v>220346.16999999998</v>
      </c>
      <c r="J231" s="8">
        <f t="shared" si="131"/>
        <v>139767.68</v>
      </c>
      <c r="K231" s="8">
        <f t="shared" si="131"/>
        <v>139767.68</v>
      </c>
      <c r="L231" s="8">
        <f t="shared" si="131"/>
        <v>139767.68</v>
      </c>
      <c r="M231" s="8">
        <f t="shared" si="131"/>
        <v>139767.68</v>
      </c>
      <c r="N231" s="8">
        <f t="shared" si="131"/>
        <v>139767.68</v>
      </c>
      <c r="O231" s="279">
        <f aca="true" t="shared" si="132" ref="O231:O234">SUM(C231:N231)</f>
        <v>2987047.3100000005</v>
      </c>
      <c r="P231" s="227">
        <f t="shared" si="129"/>
        <v>0.07000000000000019</v>
      </c>
    </row>
    <row r="232" spans="1:16" s="6" customFormat="1" ht="15">
      <c r="A232" s="13" t="s">
        <v>94</v>
      </c>
      <c r="B232" s="279">
        <f aca="true" t="shared" si="133" ref="B232:B234">+O294</f>
        <v>1902549</v>
      </c>
      <c r="C232" s="8">
        <f>+$Q$294*C299</f>
        <v>0</v>
      </c>
      <c r="D232" s="8">
        <f>+$Q$294*D299</f>
        <v>0</v>
      </c>
      <c r="E232" s="8">
        <f>+$Q$294*E299</f>
        <v>0</v>
      </c>
      <c r="F232" s="8">
        <f>+$Q$294*F299</f>
        <v>0</v>
      </c>
      <c r="G232" s="8">
        <f>+$Q$294*G299</f>
        <v>0</v>
      </c>
      <c r="H232" s="8">
        <v>500000</v>
      </c>
      <c r="I232" s="8">
        <f aca="true" t="shared" si="134" ref="I232:N232">+$Q$294*I299</f>
        <v>0</v>
      </c>
      <c r="J232" s="8">
        <f t="shared" si="134"/>
        <v>0</v>
      </c>
      <c r="K232" s="8">
        <f t="shared" si="134"/>
        <v>0</v>
      </c>
      <c r="L232" s="8">
        <f t="shared" si="134"/>
        <v>0</v>
      </c>
      <c r="M232" s="8">
        <f t="shared" si="134"/>
        <v>0</v>
      </c>
      <c r="N232" s="8">
        <f t="shared" si="134"/>
        <v>0</v>
      </c>
      <c r="O232" s="279">
        <f t="shared" si="132"/>
        <v>500000</v>
      </c>
      <c r="P232" s="227">
        <f t="shared" si="129"/>
        <v>-0.7371946793486002</v>
      </c>
    </row>
    <row r="233" spans="1:16" s="6" customFormat="1" ht="15">
      <c r="A233" s="13" t="s">
        <v>95</v>
      </c>
      <c r="B233" s="279">
        <f t="shared" si="133"/>
        <v>1462928</v>
      </c>
      <c r="C233" s="8">
        <f>+$Q$295*C300</f>
        <v>191201.51</v>
      </c>
      <c r="D233" s="8">
        <f aca="true" t="shared" si="135" ref="D233:N233">+$Q$295*D300</f>
        <v>48265.56</v>
      </c>
      <c r="E233" s="8">
        <f t="shared" si="135"/>
        <v>109743.48</v>
      </c>
      <c r="F233" s="8">
        <f t="shared" si="135"/>
        <v>84509.67</v>
      </c>
      <c r="G233" s="8">
        <f t="shared" si="135"/>
        <v>94960.36</v>
      </c>
      <c r="H233" s="8">
        <f t="shared" si="135"/>
        <v>105307.26</v>
      </c>
      <c r="I233" s="8">
        <f t="shared" si="135"/>
        <v>143857.22</v>
      </c>
      <c r="J233" s="8">
        <f t="shared" si="135"/>
        <v>157497.58000000002</v>
      </c>
      <c r="K233" s="8">
        <f t="shared" si="135"/>
        <v>157497.58000000002</v>
      </c>
      <c r="L233" s="8">
        <f t="shared" si="135"/>
        <v>157497.58000000002</v>
      </c>
      <c r="M233" s="8">
        <f t="shared" si="135"/>
        <v>157497.58000000002</v>
      </c>
      <c r="N233" s="8">
        <f t="shared" si="135"/>
        <v>157497.58000000002</v>
      </c>
      <c r="O233" s="279">
        <f t="shared" si="132"/>
        <v>1565332.9600000002</v>
      </c>
      <c r="P233" s="227">
        <f t="shared" si="129"/>
        <v>0.07000000000000013</v>
      </c>
    </row>
    <row r="234" spans="1:16" ht="15">
      <c r="A234" s="13" t="s">
        <v>127</v>
      </c>
      <c r="B234" s="279">
        <f t="shared" si="133"/>
        <v>32061092</v>
      </c>
      <c r="C234" s="8">
        <v>2210000</v>
      </c>
      <c r="D234" s="8">
        <v>2118000</v>
      </c>
      <c r="E234" s="8">
        <v>2026000</v>
      </c>
      <c r="F234" s="8">
        <v>1934000</v>
      </c>
      <c r="G234" s="8">
        <v>1842000</v>
      </c>
      <c r="H234" s="8">
        <v>1750000</v>
      </c>
      <c r="I234" s="8">
        <v>1658000</v>
      </c>
      <c r="J234" s="8">
        <v>1566000</v>
      </c>
      <c r="K234" s="8">
        <v>1474000</v>
      </c>
      <c r="L234" s="8">
        <v>1382000</v>
      </c>
      <c r="M234" s="8">
        <v>1290000</v>
      </c>
      <c r="N234" s="8">
        <v>1198000</v>
      </c>
      <c r="O234" s="279">
        <f t="shared" si="132"/>
        <v>20448000</v>
      </c>
      <c r="P234" s="227">
        <f t="shared" si="129"/>
        <v>-0.36221760631234895</v>
      </c>
    </row>
    <row r="235" spans="1:16" s="6" customFormat="1" ht="15">
      <c r="A235" s="13" t="s">
        <v>96</v>
      </c>
      <c r="B235" s="27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289"/>
      <c r="P235" s="227"/>
    </row>
    <row r="236" spans="1:16" ht="11" thickBot="1">
      <c r="A236" s="34" t="s">
        <v>169</v>
      </c>
      <c r="B236" s="310">
        <f aca="true" t="shared" si="136" ref="B236:O236">+B7-B54</f>
        <v>2424909.6820737123</v>
      </c>
      <c r="C236" s="35">
        <f t="shared" si="136"/>
        <v>-14116433.394054301</v>
      </c>
      <c r="D236" s="35">
        <f t="shared" si="136"/>
        <v>2046294.8879387751</v>
      </c>
      <c r="E236" s="35">
        <f t="shared" si="136"/>
        <v>61097419.127446845</v>
      </c>
      <c r="F236" s="35">
        <f t="shared" si="136"/>
        <v>-9441753.42359864</v>
      </c>
      <c r="G236" s="35">
        <f t="shared" si="136"/>
        <v>-6010645.792471029</v>
      </c>
      <c r="H236" s="35">
        <f t="shared" si="136"/>
        <v>-9678255.3113585</v>
      </c>
      <c r="I236" s="35">
        <f t="shared" si="136"/>
        <v>4670757.609564073</v>
      </c>
      <c r="J236" s="35">
        <f t="shared" si="136"/>
        <v>19268158.201073192</v>
      </c>
      <c r="K236" s="35">
        <f t="shared" si="136"/>
        <v>13106426.246262737</v>
      </c>
      <c r="L236" s="35">
        <f t="shared" si="136"/>
        <v>-808366.2429182082</v>
      </c>
      <c r="M236" s="35">
        <f t="shared" si="136"/>
        <v>-27329045.424177513</v>
      </c>
      <c r="N236" s="35">
        <f t="shared" si="136"/>
        <v>-19000166.94272913</v>
      </c>
      <c r="O236" s="310">
        <f t="shared" si="136"/>
        <v>13804389.540978372</v>
      </c>
      <c r="P236" s="227">
        <f t="shared" si="129"/>
        <v>4.692743792904179</v>
      </c>
    </row>
    <row r="238" spans="3:8" ht="15">
      <c r="C238" s="21"/>
      <c r="H238" s="21"/>
    </row>
    <row r="244" spans="1:17" ht="15">
      <c r="A244" s="280" t="s">
        <v>542</v>
      </c>
      <c r="C244" s="8">
        <v>2950500</v>
      </c>
      <c r="D244" s="8">
        <v>3538500</v>
      </c>
      <c r="E244" s="8">
        <v>59409000</v>
      </c>
      <c r="F244" s="8">
        <v>105000</v>
      </c>
      <c r="G244" s="8">
        <v>220500</v>
      </c>
      <c r="H244" s="8">
        <v>0</v>
      </c>
      <c r="I244" s="8">
        <v>105000</v>
      </c>
      <c r="J244" s="8">
        <v>0</v>
      </c>
      <c r="K244" s="8">
        <v>294000</v>
      </c>
      <c r="L244" s="8">
        <v>0</v>
      </c>
      <c r="M244" s="8">
        <v>0</v>
      </c>
      <c r="N244" s="8">
        <v>0</v>
      </c>
      <c r="O244" s="10">
        <f>+SUM(C244:N244)</f>
        <v>66622500</v>
      </c>
      <c r="Q244" s="21">
        <f>+O244*10%+O244</f>
        <v>73284750</v>
      </c>
    </row>
    <row r="246" spans="3:14" ht="15">
      <c r="C246" s="215">
        <f>+C244/$O$244</f>
        <v>0.044286840031520884</v>
      </c>
      <c r="D246" s="215">
        <f aca="true" t="shared" si="137" ref="D246:N246">+D244/$O$244</f>
        <v>0.05311268715524035</v>
      </c>
      <c r="E246" s="215">
        <f t="shared" si="137"/>
        <v>0.891725768321513</v>
      </c>
      <c r="F246" s="215">
        <f t="shared" si="137"/>
        <v>0.0015760441292356187</v>
      </c>
      <c r="G246" s="215">
        <f t="shared" si="137"/>
        <v>0.003309692671394799</v>
      </c>
      <c r="H246" s="215">
        <f t="shared" si="137"/>
        <v>0</v>
      </c>
      <c r="I246" s="215">
        <f t="shared" si="137"/>
        <v>0.0015760441292356187</v>
      </c>
      <c r="J246" s="215">
        <f t="shared" si="137"/>
        <v>0</v>
      </c>
      <c r="K246" s="215">
        <f t="shared" si="137"/>
        <v>0.004412923561859732</v>
      </c>
      <c r="L246" s="215">
        <f t="shared" si="137"/>
        <v>0</v>
      </c>
      <c r="M246" s="215">
        <f t="shared" si="137"/>
        <v>0</v>
      </c>
      <c r="N246" s="215">
        <f t="shared" si="137"/>
        <v>0</v>
      </c>
    </row>
    <row r="248" spans="1:17" ht="12">
      <c r="A248" s="280" t="s">
        <v>543</v>
      </c>
      <c r="C248" s="216">
        <v>103954</v>
      </c>
      <c r="D248" s="216">
        <v>389837</v>
      </c>
      <c r="E248" s="216">
        <v>610118</v>
      </c>
      <c r="F248" s="216">
        <v>295409</v>
      </c>
      <c r="G248" s="216">
        <v>679664</v>
      </c>
      <c r="H248" s="216">
        <v>3651946</v>
      </c>
      <c r="I248" s="216">
        <v>532525</v>
      </c>
      <c r="J248" s="216">
        <v>413512</v>
      </c>
      <c r="K248" s="216">
        <v>5603147</v>
      </c>
      <c r="L248" s="216">
        <v>941685</v>
      </c>
      <c r="M248" s="216">
        <v>100000</v>
      </c>
      <c r="N248" s="216">
        <v>100000</v>
      </c>
      <c r="O248" s="10">
        <f>+SUM(C248:N248)</f>
        <v>13421797</v>
      </c>
      <c r="Q248" s="21">
        <f>+O248*10%+O248</f>
        <v>14763976.7</v>
      </c>
    </row>
    <row r="250" spans="3:14" ht="15">
      <c r="C250" s="26">
        <f>+C248/$O$248</f>
        <v>0.007745162588884335</v>
      </c>
      <c r="D250" s="26">
        <f aca="true" t="shared" si="138" ref="D250:N250">+D248/$O$248</f>
        <v>0.029045067512196765</v>
      </c>
      <c r="E250" s="26">
        <f t="shared" si="138"/>
        <v>0.04545725136507429</v>
      </c>
      <c r="F250" s="26">
        <f t="shared" si="138"/>
        <v>0.022009645951283574</v>
      </c>
      <c r="G250" s="26">
        <f t="shared" si="138"/>
        <v>0.050638822804427754</v>
      </c>
      <c r="H250" s="26">
        <f t="shared" si="138"/>
        <v>0.27209068949560183</v>
      </c>
      <c r="I250" s="26">
        <f t="shared" si="138"/>
        <v>0.039676132786094144</v>
      </c>
      <c r="J250" s="26">
        <f t="shared" si="138"/>
        <v>0.030808989288096073</v>
      </c>
      <c r="K250" s="26">
        <f t="shared" si="138"/>
        <v>0.4174662304905967</v>
      </c>
      <c r="L250" s="26">
        <f t="shared" si="138"/>
        <v>0.0701608733912456</v>
      </c>
      <c r="M250" s="26">
        <f t="shared" si="138"/>
        <v>0.007450567163249451</v>
      </c>
      <c r="N250" s="26">
        <f t="shared" si="138"/>
        <v>0.007450567163249451</v>
      </c>
    </row>
    <row r="253" spans="1:17" ht="12">
      <c r="A253" s="280" t="s">
        <v>544</v>
      </c>
      <c r="C253" s="216">
        <v>0</v>
      </c>
      <c r="D253" s="216">
        <v>63324</v>
      </c>
      <c r="E253" s="216">
        <v>949860</v>
      </c>
      <c r="F253" s="216">
        <v>823212</v>
      </c>
      <c r="G253" s="216">
        <v>823212</v>
      </c>
      <c r="H253" s="216">
        <v>1203156</v>
      </c>
      <c r="I253" s="216">
        <v>1583100</v>
      </c>
      <c r="J253" s="216">
        <v>3229524</v>
      </c>
      <c r="K253" s="216">
        <v>3229524</v>
      </c>
      <c r="L253" s="216">
        <v>1013584</v>
      </c>
      <c r="M253" s="216">
        <v>500000</v>
      </c>
      <c r="N253" s="216">
        <v>500000</v>
      </c>
      <c r="O253" s="10">
        <f>+SUM(C253:N253)</f>
        <v>13918496</v>
      </c>
      <c r="Q253" s="21">
        <f>+O253*10%+O253</f>
        <v>15310345.6</v>
      </c>
    </row>
    <row r="255" spans="3:14" ht="15">
      <c r="C255" s="26">
        <f>+C253/$O$253</f>
        <v>0</v>
      </c>
      <c r="D255" s="26">
        <f aca="true" t="shared" si="139" ref="D255:N255">+D253/$O$253</f>
        <v>0.004549629500198872</v>
      </c>
      <c r="E255" s="26">
        <f t="shared" si="139"/>
        <v>0.06824444250298307</v>
      </c>
      <c r="F255" s="26">
        <f t="shared" si="139"/>
        <v>0.05914518350258534</v>
      </c>
      <c r="G255" s="26">
        <f t="shared" si="139"/>
        <v>0.05914518350258534</v>
      </c>
      <c r="H255" s="26">
        <f t="shared" si="139"/>
        <v>0.08644296050377857</v>
      </c>
      <c r="I255" s="26">
        <f t="shared" si="139"/>
        <v>0.1137407375049718</v>
      </c>
      <c r="J255" s="26">
        <f t="shared" si="139"/>
        <v>0.23203110451014247</v>
      </c>
      <c r="K255" s="26">
        <f t="shared" si="139"/>
        <v>0.23203110451014247</v>
      </c>
      <c r="L255" s="26">
        <f t="shared" si="139"/>
        <v>0.07282281074047081</v>
      </c>
      <c r="M255" s="26">
        <f t="shared" si="139"/>
        <v>0.03592342161107062</v>
      </c>
      <c r="N255" s="26">
        <f t="shared" si="139"/>
        <v>0.03592342161107062</v>
      </c>
    </row>
    <row r="257" spans="1:17" ht="12">
      <c r="A257" s="280" t="s">
        <v>545</v>
      </c>
      <c r="C257" s="216">
        <v>128144</v>
      </c>
      <c r="D257" s="216">
        <v>131560</v>
      </c>
      <c r="E257" s="216">
        <v>261690</v>
      </c>
      <c r="F257" s="216">
        <v>154726</v>
      </c>
      <c r="G257" s="216">
        <v>188188</v>
      </c>
      <c r="H257" s="216">
        <v>140998</v>
      </c>
      <c r="I257" s="216">
        <v>52338</v>
      </c>
      <c r="J257" s="216">
        <v>170456</v>
      </c>
      <c r="K257" s="216">
        <v>188188</v>
      </c>
      <c r="L257" s="216">
        <v>225429</v>
      </c>
      <c r="M257" s="216">
        <v>62189</v>
      </c>
      <c r="N257" s="216">
        <v>62189</v>
      </c>
      <c r="O257" s="10">
        <f>+SUM(C257:N257)</f>
        <v>1766095</v>
      </c>
      <c r="Q257" s="21">
        <f>+O257*10%+O257</f>
        <v>1942704.5</v>
      </c>
    </row>
    <row r="259" spans="3:14" ht="15">
      <c r="C259" s="26">
        <f>+C257/$O$257</f>
        <v>0.07255781823741078</v>
      </c>
      <c r="D259" s="26">
        <f aca="true" t="shared" si="140" ref="D259:N259">+D257/$O$257</f>
        <v>0.07449202902448622</v>
      </c>
      <c r="E259" s="26">
        <f t="shared" si="140"/>
        <v>0.148174362081315</v>
      </c>
      <c r="F259" s="26">
        <f t="shared" si="140"/>
        <v>0.08760910370053707</v>
      </c>
      <c r="G259" s="26">
        <f t="shared" si="140"/>
        <v>0.1065559893437216</v>
      </c>
      <c r="H259" s="26">
        <f t="shared" si="140"/>
        <v>0.07983602241102546</v>
      </c>
      <c r="I259" s="26">
        <f t="shared" si="140"/>
        <v>0.029634872416263</v>
      </c>
      <c r="J259" s="26">
        <f t="shared" si="140"/>
        <v>0.09651575934476911</v>
      </c>
      <c r="K259" s="26">
        <f t="shared" si="140"/>
        <v>0.1065559893437216</v>
      </c>
      <c r="L259" s="26">
        <f t="shared" si="140"/>
        <v>0.12764262398115617</v>
      </c>
      <c r="M259" s="26">
        <f t="shared" si="140"/>
        <v>0.035212715057797</v>
      </c>
      <c r="N259" s="26">
        <f t="shared" si="140"/>
        <v>0.035212715057797</v>
      </c>
    </row>
    <row r="261" spans="1:17" ht="12">
      <c r="A261" s="280" t="s">
        <v>546</v>
      </c>
      <c r="C261" s="216">
        <v>50850</v>
      </c>
      <c r="D261" s="216">
        <v>223850</v>
      </c>
      <c r="E261" s="216">
        <v>260150</v>
      </c>
      <c r="F261" s="216">
        <v>133100</v>
      </c>
      <c r="G261" s="216">
        <v>127050</v>
      </c>
      <c r="H261" s="216">
        <v>193600</v>
      </c>
      <c r="I261" s="216">
        <v>136730</v>
      </c>
      <c r="J261" s="216">
        <v>157300</v>
      </c>
      <c r="K261" s="216">
        <v>375100</v>
      </c>
      <c r="L261" s="216">
        <v>145200</v>
      </c>
      <c r="M261" s="7">
        <v>0</v>
      </c>
      <c r="N261" s="7">
        <v>0</v>
      </c>
      <c r="O261" s="10">
        <f>+SUM(C261:N261)</f>
        <v>1802930</v>
      </c>
      <c r="Q261" s="21">
        <f>+O261*10%+O261</f>
        <v>1983223</v>
      </c>
    </row>
    <row r="263" spans="3:14" ht="15">
      <c r="C263" s="26">
        <f>+C261/$O$261</f>
        <v>0.02820409000904084</v>
      </c>
      <c r="D263" s="26">
        <f aca="true" t="shared" si="141" ref="D263:N263">+D261/$O$261</f>
        <v>0.12415900783724271</v>
      </c>
      <c r="E263" s="26">
        <f t="shared" si="141"/>
        <v>0.14429290100003883</v>
      </c>
      <c r="F263" s="26">
        <f t="shared" si="141"/>
        <v>0.07382427493025243</v>
      </c>
      <c r="G263" s="26">
        <f t="shared" si="141"/>
        <v>0.0704686260697864</v>
      </c>
      <c r="H263" s="26">
        <f t="shared" si="141"/>
        <v>0.10738076353491262</v>
      </c>
      <c r="I263" s="26">
        <f t="shared" si="141"/>
        <v>0.07583766424653203</v>
      </c>
      <c r="J263" s="26">
        <f t="shared" si="141"/>
        <v>0.0872468703721165</v>
      </c>
      <c r="K263" s="26">
        <f t="shared" si="141"/>
        <v>0.2080502293488932</v>
      </c>
      <c r="L263" s="26">
        <f t="shared" si="141"/>
        <v>0.08053557265118447</v>
      </c>
      <c r="M263" s="26">
        <f t="shared" si="141"/>
        <v>0</v>
      </c>
      <c r="N263" s="26">
        <f t="shared" si="141"/>
        <v>0</v>
      </c>
    </row>
    <row r="265" spans="1:17" ht="12">
      <c r="A265" s="280" t="s">
        <v>547</v>
      </c>
      <c r="C265" s="217">
        <v>47428</v>
      </c>
      <c r="D265" s="217">
        <v>46003</v>
      </c>
      <c r="E265" s="217">
        <v>53570</v>
      </c>
      <c r="F265" s="217">
        <v>59967</v>
      </c>
      <c r="G265" s="217">
        <v>48366</v>
      </c>
      <c r="H265" s="217">
        <v>57749</v>
      </c>
      <c r="I265" s="217">
        <v>56619</v>
      </c>
      <c r="J265" s="217">
        <v>86981</v>
      </c>
      <c r="K265" s="217">
        <v>86793</v>
      </c>
      <c r="L265" s="217">
        <v>41049</v>
      </c>
      <c r="M265" s="217">
        <v>40000</v>
      </c>
      <c r="N265" s="217">
        <v>40000</v>
      </c>
      <c r="O265" s="10">
        <f>+SUM(C265:N265)</f>
        <v>664525</v>
      </c>
      <c r="Q265" s="21">
        <f>+O265*10%+O265</f>
        <v>730977.5</v>
      </c>
    </row>
    <row r="267" spans="3:14" ht="15">
      <c r="C267" s="26">
        <f>+C265/$O$265</f>
        <v>0.07137128023776382</v>
      </c>
      <c r="D267" s="26">
        <f aca="true" t="shared" si="142" ref="D267:N267">+D265/$O$265</f>
        <v>0.06922689138858583</v>
      </c>
      <c r="E267" s="26">
        <f t="shared" si="142"/>
        <v>0.08061397238629096</v>
      </c>
      <c r="F267" s="26">
        <f t="shared" si="142"/>
        <v>0.09024039727624995</v>
      </c>
      <c r="G267" s="26">
        <f t="shared" si="142"/>
        <v>0.07278281479252097</v>
      </c>
      <c r="H267" s="26">
        <f t="shared" si="142"/>
        <v>0.08690267484293292</v>
      </c>
      <c r="I267" s="26">
        <f t="shared" si="142"/>
        <v>0.08520221210639178</v>
      </c>
      <c r="J267" s="26">
        <f t="shared" si="142"/>
        <v>0.13089199051954403</v>
      </c>
      <c r="K267" s="26">
        <f t="shared" si="142"/>
        <v>0.13060908167488056</v>
      </c>
      <c r="L267" s="26">
        <f t="shared" si="142"/>
        <v>0.06177194236484707</v>
      </c>
      <c r="M267" s="26">
        <f t="shared" si="142"/>
        <v>0.06019337120499605</v>
      </c>
      <c r="N267" s="26">
        <f t="shared" si="142"/>
        <v>0.06019337120499605</v>
      </c>
    </row>
    <row r="269" spans="1:17" ht="12">
      <c r="A269" s="280" t="s">
        <v>548</v>
      </c>
      <c r="C269" s="216">
        <v>3485533</v>
      </c>
      <c r="D269" s="216">
        <v>8234001</v>
      </c>
      <c r="E269" s="216">
        <v>6940094</v>
      </c>
      <c r="F269" s="216">
        <v>5001232</v>
      </c>
      <c r="G269" s="216">
        <v>3223909</v>
      </c>
      <c r="H269" s="216">
        <v>5626712</v>
      </c>
      <c r="I269" s="216">
        <v>7665231</v>
      </c>
      <c r="J269" s="216">
        <v>6059962</v>
      </c>
      <c r="K269" s="216">
        <v>7206116</v>
      </c>
      <c r="L269" s="216">
        <v>7918768</v>
      </c>
      <c r="M269" s="216">
        <v>2744598.4146729056</v>
      </c>
      <c r="N269" s="216">
        <v>1756542.9853906594</v>
      </c>
      <c r="O269" s="10">
        <f>+SUM(C269:N269)</f>
        <v>65862699.40006356</v>
      </c>
      <c r="Q269" s="21">
        <f>+O269*10%+O269</f>
        <v>72448969.34006992</v>
      </c>
    </row>
    <row r="271" spans="3:14" ht="15">
      <c r="C271" s="26">
        <f>+C269/$O$269</f>
        <v>0.05292119867162074</v>
      </c>
      <c r="D271" s="26">
        <f aca="true" t="shared" si="143" ref="D271:N271">+D269/$O$269</f>
        <v>0.1250176666763229</v>
      </c>
      <c r="E271" s="26">
        <f t="shared" si="143"/>
        <v>0.10537214634712197</v>
      </c>
      <c r="F271" s="26">
        <f t="shared" si="143"/>
        <v>0.07593420928014945</v>
      </c>
      <c r="G271" s="26">
        <f t="shared" si="143"/>
        <v>0.048948935123617004</v>
      </c>
      <c r="H271" s="26">
        <f t="shared" si="143"/>
        <v>0.08543093513100937</v>
      </c>
      <c r="I271" s="26">
        <f t="shared" si="143"/>
        <v>0.11638197446842884</v>
      </c>
      <c r="J271" s="26">
        <f t="shared" si="143"/>
        <v>0.09200901352661765</v>
      </c>
      <c r="K271" s="26">
        <f t="shared" si="143"/>
        <v>0.10941118517218026</v>
      </c>
      <c r="L271" s="26">
        <f t="shared" si="143"/>
        <v>0.12023145228074812</v>
      </c>
      <c r="M271" s="26">
        <f t="shared" si="143"/>
        <v>0.041671514220843746</v>
      </c>
      <c r="N271" s="26">
        <f t="shared" si="143"/>
        <v>0.026669769101339995</v>
      </c>
    </row>
    <row r="273" spans="1:17" ht="12">
      <c r="A273" s="280" t="s">
        <v>589</v>
      </c>
      <c r="C273" s="7">
        <v>0</v>
      </c>
      <c r="D273" s="7">
        <v>0</v>
      </c>
      <c r="E273" s="217">
        <v>100456</v>
      </c>
      <c r="F273" s="217">
        <v>430986</v>
      </c>
      <c r="G273" s="216">
        <v>0</v>
      </c>
      <c r="H273" s="217">
        <v>1039028</v>
      </c>
      <c r="I273" s="7">
        <v>0</v>
      </c>
      <c r="J273" s="217">
        <v>177275</v>
      </c>
      <c r="K273" s="216">
        <v>0</v>
      </c>
      <c r="L273" s="217">
        <v>98487</v>
      </c>
      <c r="M273" s="7">
        <v>0</v>
      </c>
      <c r="N273" s="7">
        <v>0</v>
      </c>
      <c r="O273" s="10">
        <f>+SUM(C273:N273)</f>
        <v>1846232</v>
      </c>
      <c r="Q273" s="21">
        <f>+O273*10%+O273</f>
        <v>2030855.2</v>
      </c>
    </row>
    <row r="274" ht="12">
      <c r="L274" s="217"/>
    </row>
    <row r="275" spans="3:14" ht="15">
      <c r="C275" s="26">
        <f>+C273/$O$273</f>
        <v>0</v>
      </c>
      <c r="D275" s="26">
        <f aca="true" t="shared" si="144" ref="D275:N275">+D273/$O$273</f>
        <v>0</v>
      </c>
      <c r="E275" s="26">
        <f t="shared" si="144"/>
        <v>0.054411363252288986</v>
      </c>
      <c r="F275" s="26">
        <f t="shared" si="144"/>
        <v>0.2334408676699353</v>
      </c>
      <c r="G275" s="26">
        <f t="shared" si="144"/>
        <v>0</v>
      </c>
      <c r="H275" s="26">
        <f t="shared" si="144"/>
        <v>0.5627830088526252</v>
      </c>
      <c r="I275" s="26">
        <f t="shared" si="144"/>
        <v>0</v>
      </c>
      <c r="J275" s="26">
        <f t="shared" si="144"/>
        <v>0.09601989349117554</v>
      </c>
      <c r="K275" s="26">
        <f t="shared" si="144"/>
        <v>0</v>
      </c>
      <c r="L275" s="26">
        <f t="shared" si="144"/>
        <v>0.05334486673397493</v>
      </c>
      <c r="M275" s="26">
        <f t="shared" si="144"/>
        <v>0</v>
      </c>
      <c r="N275" s="26">
        <f t="shared" si="144"/>
        <v>0</v>
      </c>
    </row>
    <row r="276" spans="17:18" ht="15">
      <c r="Q276" s="5" t="s">
        <v>559</v>
      </c>
      <c r="R276" s="5" t="s">
        <v>560</v>
      </c>
    </row>
    <row r="277" spans="1:18" ht="12">
      <c r="A277" s="280" t="s">
        <v>549</v>
      </c>
      <c r="C277" s="217">
        <v>23275</v>
      </c>
      <c r="D277" s="217">
        <v>317242</v>
      </c>
      <c r="E277" s="217">
        <v>1320431</v>
      </c>
      <c r="F277" s="217">
        <v>1669828</v>
      </c>
      <c r="G277" s="217">
        <v>888447</v>
      </c>
      <c r="H277" s="217">
        <v>3395689</v>
      </c>
      <c r="I277" s="217">
        <v>685345</v>
      </c>
      <c r="J277" s="217">
        <v>5979312</v>
      </c>
      <c r="K277" s="217">
        <v>1288793</v>
      </c>
      <c r="L277" s="217">
        <v>558190</v>
      </c>
      <c r="M277" s="217">
        <v>630022.7213401035</v>
      </c>
      <c r="N277" s="217">
        <v>315011.36067005177</v>
      </c>
      <c r="O277" s="10">
        <f>+SUM(C277:N277)</f>
        <v>17071586.082010154</v>
      </c>
      <c r="Q277" s="21">
        <f>+O277*10%+O277</f>
        <v>18778744.69021117</v>
      </c>
      <c r="R277" s="21">
        <v>17220000</v>
      </c>
    </row>
    <row r="279" spans="3:14" ht="15">
      <c r="C279" s="215">
        <f>+C277/$O$277</f>
        <v>0.0013633765420617205</v>
      </c>
      <c r="D279" s="215">
        <f aca="true" t="shared" si="145" ref="D279:N279">+D277/$O$277</f>
        <v>0.01858304193154648</v>
      </c>
      <c r="E279" s="215">
        <f t="shared" si="145"/>
        <v>0.07734670894999354</v>
      </c>
      <c r="F279" s="215">
        <f t="shared" si="145"/>
        <v>0.09781328998830671</v>
      </c>
      <c r="G279" s="215">
        <f t="shared" si="145"/>
        <v>0.05204244032932801</v>
      </c>
      <c r="H279" s="215">
        <f t="shared" si="145"/>
        <v>0.19890881747527484</v>
      </c>
      <c r="I279" s="215">
        <f t="shared" si="145"/>
        <v>0.040145361813932974</v>
      </c>
      <c r="J279" s="215">
        <f t="shared" si="145"/>
        <v>0.3502493541769345</v>
      </c>
      <c r="K279" s="215">
        <f t="shared" si="145"/>
        <v>0.07549345408263593</v>
      </c>
      <c r="L279" s="215">
        <f t="shared" si="145"/>
        <v>0.032697020494669465</v>
      </c>
      <c r="M279" s="215">
        <f t="shared" si="145"/>
        <v>0.036904756143543944</v>
      </c>
      <c r="N279" s="215">
        <f t="shared" si="145"/>
        <v>0.018452378071771972</v>
      </c>
    </row>
    <row r="281" spans="1:17" ht="12">
      <c r="A281" s="280" t="s">
        <v>550</v>
      </c>
      <c r="C281" s="216">
        <v>2241379</v>
      </c>
      <c r="D281" s="7"/>
      <c r="E281" s="7"/>
      <c r="F281" s="7"/>
      <c r="G281" s="216">
        <v>0</v>
      </c>
      <c r="H281" s="216">
        <v>0</v>
      </c>
      <c r="I281" s="216">
        <v>1293104</v>
      </c>
      <c r="J281" s="216">
        <v>1508621</v>
      </c>
      <c r="K281" s="7"/>
      <c r="L281" s="7"/>
      <c r="M281" s="7"/>
      <c r="N281" s="7"/>
      <c r="O281" s="10">
        <f>+SUM(C281:N281)</f>
        <v>5043104</v>
      </c>
      <c r="Q281" s="21">
        <f>+O281*10%+O281</f>
        <v>5547414.4</v>
      </c>
    </row>
    <row r="283" spans="3:14" ht="15">
      <c r="C283" s="26">
        <f>+C281/$O$281</f>
        <v>0.444444334283013</v>
      </c>
      <c r="D283" s="26">
        <f aca="true" t="shared" si="146" ref="D283:N283">+D281/$O$281</f>
        <v>0</v>
      </c>
      <c r="E283" s="26">
        <f t="shared" si="146"/>
        <v>0</v>
      </c>
      <c r="F283" s="26">
        <f t="shared" si="146"/>
        <v>0</v>
      </c>
      <c r="G283" s="26">
        <f t="shared" si="146"/>
        <v>0</v>
      </c>
      <c r="H283" s="26">
        <f t="shared" si="146"/>
        <v>0</v>
      </c>
      <c r="I283" s="26">
        <f t="shared" si="146"/>
        <v>0.25641033776023653</v>
      </c>
      <c r="J283" s="26">
        <f t="shared" si="146"/>
        <v>0.2991453279567505</v>
      </c>
      <c r="K283" s="26">
        <f t="shared" si="146"/>
        <v>0</v>
      </c>
      <c r="L283" s="26">
        <f t="shared" si="146"/>
        <v>0</v>
      </c>
      <c r="M283" s="26">
        <f t="shared" si="146"/>
        <v>0</v>
      </c>
      <c r="N283" s="26">
        <f t="shared" si="146"/>
        <v>0</v>
      </c>
    </row>
    <row r="286" spans="1:17" ht="12">
      <c r="A286" s="309" t="s">
        <v>252</v>
      </c>
      <c r="C286" s="216">
        <v>518402</v>
      </c>
      <c r="D286" s="216">
        <v>436450</v>
      </c>
      <c r="E286" s="216">
        <v>714336</v>
      </c>
      <c r="F286" s="216">
        <v>575124</v>
      </c>
      <c r="G286" s="216">
        <v>377546</v>
      </c>
      <c r="H286" s="216">
        <v>419391</v>
      </c>
      <c r="I286" s="216">
        <v>166212</v>
      </c>
      <c r="J286" s="216">
        <v>39708</v>
      </c>
      <c r="K286" s="216">
        <v>48911</v>
      </c>
      <c r="L286" s="216">
        <v>3296080</v>
      </c>
      <c r="M286" s="216">
        <v>255735.9</v>
      </c>
      <c r="N286" s="216">
        <v>255735.9</v>
      </c>
      <c r="O286" s="10">
        <f>+SUM(C286:N286)</f>
        <v>7103631.800000001</v>
      </c>
      <c r="Q286" s="14">
        <f>+O286*7%+O286</f>
        <v>7600886.026000001</v>
      </c>
    </row>
    <row r="287" spans="1:17" ht="12">
      <c r="A287" s="309" t="s">
        <v>287</v>
      </c>
      <c r="C287" s="216">
        <v>6563</v>
      </c>
      <c r="D287" s="216">
        <v>6308</v>
      </c>
      <c r="E287" s="216">
        <v>3756</v>
      </c>
      <c r="F287" s="216">
        <v>5021</v>
      </c>
      <c r="G287" s="216">
        <v>20947</v>
      </c>
      <c r="H287" s="216">
        <v>34281</v>
      </c>
      <c r="I287" s="216">
        <v>2869</v>
      </c>
      <c r="J287" s="216">
        <v>6830</v>
      </c>
      <c r="K287" s="216">
        <v>5152</v>
      </c>
      <c r="L287" s="216">
        <v>91727</v>
      </c>
      <c r="M287" s="216">
        <v>0</v>
      </c>
      <c r="N287" s="216">
        <v>0</v>
      </c>
      <c r="O287" s="10">
        <f>+SUM(C287:N287)</f>
        <v>183454</v>
      </c>
      <c r="Q287" s="14">
        <f>+O287*7%+O287</f>
        <v>196295.78</v>
      </c>
    </row>
    <row r="289" spans="3:14" ht="15">
      <c r="C289" s="26">
        <f>+C286/$O$286</f>
        <v>0.07297703690103982</v>
      </c>
      <c r="D289" s="26">
        <f aca="true" t="shared" si="147" ref="D289:N289">+D286/$O$286</f>
        <v>0.061440402921784314</v>
      </c>
      <c r="E289" s="26">
        <f t="shared" si="147"/>
        <v>0.10055926603628301</v>
      </c>
      <c r="F289" s="26">
        <f t="shared" si="147"/>
        <v>0.08096196652534833</v>
      </c>
      <c r="G289" s="26">
        <f t="shared" si="147"/>
        <v>0.05314830647613238</v>
      </c>
      <c r="H289" s="26">
        <f t="shared" si="147"/>
        <v>0.05903895525666181</v>
      </c>
      <c r="I289" s="26">
        <f t="shared" si="147"/>
        <v>0.02339817218566987</v>
      </c>
      <c r="J289" s="26">
        <f t="shared" si="147"/>
        <v>0.005589816746977228</v>
      </c>
      <c r="K289" s="26">
        <f t="shared" si="147"/>
        <v>0.006885351236813822</v>
      </c>
      <c r="L289" s="26">
        <f t="shared" si="147"/>
        <v>0.46399927428671056</v>
      </c>
      <c r="M289" s="26">
        <f t="shared" si="147"/>
        <v>0.036000725713289355</v>
      </c>
      <c r="N289" s="26">
        <f t="shared" si="147"/>
        <v>0.036000725713289355</v>
      </c>
    </row>
    <row r="290" spans="3:14" ht="15">
      <c r="C290" s="26">
        <f>+C287/$O$287</f>
        <v>0.03577463560347553</v>
      </c>
      <c r="D290" s="26">
        <f aca="true" t="shared" si="148" ref="D290:N290">+D287/$O$287</f>
        <v>0.03438464138149073</v>
      </c>
      <c r="E290" s="26">
        <f t="shared" si="148"/>
        <v>0.020473797246176154</v>
      </c>
      <c r="F290" s="26">
        <f t="shared" si="148"/>
        <v>0.02736925877876743</v>
      </c>
      <c r="G290" s="26">
        <f t="shared" si="148"/>
        <v>0.11418121163888495</v>
      </c>
      <c r="H290" s="26">
        <f t="shared" si="148"/>
        <v>0.18686428205435696</v>
      </c>
      <c r="I290" s="26">
        <f t="shared" si="148"/>
        <v>0.01563879773676235</v>
      </c>
      <c r="J290" s="26">
        <f t="shared" si="148"/>
        <v>0.03723004131825962</v>
      </c>
      <c r="K290" s="26">
        <f t="shared" si="148"/>
        <v>0.02808333424182629</v>
      </c>
      <c r="L290" s="26">
        <f t="shared" si="148"/>
        <v>0.5</v>
      </c>
      <c r="M290" s="26">
        <f t="shared" si="148"/>
        <v>0</v>
      </c>
      <c r="N290" s="26">
        <f t="shared" si="148"/>
        <v>0</v>
      </c>
    </row>
    <row r="293" spans="1:17" ht="12">
      <c r="A293" s="229" t="s">
        <v>557</v>
      </c>
      <c r="C293" s="216">
        <v>718877</v>
      </c>
      <c r="D293" s="216">
        <v>233403</v>
      </c>
      <c r="E293" s="216">
        <v>196466</v>
      </c>
      <c r="F293" s="216">
        <v>316125</v>
      </c>
      <c r="G293" s="216">
        <v>217010</v>
      </c>
      <c r="H293" s="216">
        <v>250701</v>
      </c>
      <c r="I293" s="216">
        <v>205931</v>
      </c>
      <c r="J293" s="216">
        <v>130624</v>
      </c>
      <c r="K293" s="216">
        <v>130624</v>
      </c>
      <c r="L293" s="216">
        <v>130624</v>
      </c>
      <c r="M293" s="216">
        <v>130624</v>
      </c>
      <c r="N293" s="216">
        <v>130624</v>
      </c>
      <c r="O293" s="10">
        <f>+SUM(C293:N293)</f>
        <v>2791633</v>
      </c>
      <c r="Q293" s="9">
        <f>+O293*7%+O293</f>
        <v>2987047.31</v>
      </c>
    </row>
    <row r="294" spans="1:17" ht="12">
      <c r="A294" s="229" t="s">
        <v>558</v>
      </c>
      <c r="C294" s="216">
        <v>0</v>
      </c>
      <c r="D294" s="216">
        <v>0</v>
      </c>
      <c r="E294" s="216">
        <v>0</v>
      </c>
      <c r="F294" s="216">
        <v>0</v>
      </c>
      <c r="G294" s="216">
        <v>0</v>
      </c>
      <c r="H294" s="216">
        <v>1849599</v>
      </c>
      <c r="I294" s="216">
        <v>52950</v>
      </c>
      <c r="J294" s="216">
        <v>0</v>
      </c>
      <c r="K294" s="216">
        <v>0</v>
      </c>
      <c r="L294" s="216">
        <v>0</v>
      </c>
      <c r="M294" s="216">
        <v>0</v>
      </c>
      <c r="N294" s="216">
        <v>0</v>
      </c>
      <c r="O294" s="10">
        <f>+SUM(C294:N294)</f>
        <v>1902549</v>
      </c>
      <c r="Q294" s="9">
        <f>+O294*7%+O294</f>
        <v>2035727.43</v>
      </c>
    </row>
    <row r="295" spans="1:17" ht="12">
      <c r="A295" s="229" t="s">
        <v>670</v>
      </c>
      <c r="C295" s="216">
        <v>178693</v>
      </c>
      <c r="D295" s="216">
        <v>45108</v>
      </c>
      <c r="E295" s="216">
        <v>102564</v>
      </c>
      <c r="F295" s="216">
        <v>78981</v>
      </c>
      <c r="G295" s="216">
        <v>88748</v>
      </c>
      <c r="H295" s="216">
        <v>98418</v>
      </c>
      <c r="I295" s="216">
        <v>134446</v>
      </c>
      <c r="J295" s="216">
        <v>147194</v>
      </c>
      <c r="K295" s="216">
        <v>147194</v>
      </c>
      <c r="L295" s="216">
        <v>147194</v>
      </c>
      <c r="M295" s="216">
        <v>147194</v>
      </c>
      <c r="N295" s="216">
        <v>147194</v>
      </c>
      <c r="O295" s="10">
        <f>+SUM(C295:N295)</f>
        <v>1462928</v>
      </c>
      <c r="Q295" s="9">
        <f>+O295*7%+O295</f>
        <v>1565332.96</v>
      </c>
    </row>
    <row r="296" spans="1:17" ht="12">
      <c r="A296" s="229" t="s">
        <v>669</v>
      </c>
      <c r="C296" s="216">
        <v>1848000</v>
      </c>
      <c r="D296" s="216">
        <v>3080000</v>
      </c>
      <c r="E296" s="216">
        <v>2858111</v>
      </c>
      <c r="F296" s="216">
        <v>2903750</v>
      </c>
      <c r="G296" s="216">
        <v>2855437</v>
      </c>
      <c r="H296" s="216">
        <v>2796598</v>
      </c>
      <c r="I296" s="216">
        <v>2277972</v>
      </c>
      <c r="J296" s="216">
        <v>3268824</v>
      </c>
      <c r="K296" s="216">
        <v>2543100</v>
      </c>
      <c r="L296" s="216">
        <v>2543100</v>
      </c>
      <c r="M296" s="216">
        <v>2543100</v>
      </c>
      <c r="N296" s="216">
        <v>2543100</v>
      </c>
      <c r="O296" s="10">
        <f>+SUM(C296:N296)</f>
        <v>32061092</v>
      </c>
      <c r="Q296" s="9">
        <f>+O296*7%+O296</f>
        <v>34305368.44</v>
      </c>
    </row>
    <row r="298" spans="3:14" ht="15">
      <c r="C298" s="26">
        <f>+C293/$O$293</f>
        <v>0.257511284613701</v>
      </c>
      <c r="D298" s="26">
        <f aca="true" t="shared" si="149" ref="D298:N298">+D293/$O$293</f>
        <v>0.08360805306428173</v>
      </c>
      <c r="E298" s="26">
        <f t="shared" si="149"/>
        <v>0.07037672931936254</v>
      </c>
      <c r="F298" s="26">
        <f t="shared" si="149"/>
        <v>0.11324017161281587</v>
      </c>
      <c r="G298" s="26">
        <f t="shared" si="149"/>
        <v>0.0777358628444355</v>
      </c>
      <c r="H298" s="26">
        <f t="shared" si="149"/>
        <v>0.08980442629815595</v>
      </c>
      <c r="I298" s="26">
        <f t="shared" si="149"/>
        <v>0.07376721796883759</v>
      </c>
      <c r="J298" s="26">
        <f t="shared" si="149"/>
        <v>0.04679125085568196</v>
      </c>
      <c r="K298" s="26">
        <f t="shared" si="149"/>
        <v>0.04679125085568196</v>
      </c>
      <c r="L298" s="26">
        <f t="shared" si="149"/>
        <v>0.04679125085568196</v>
      </c>
      <c r="M298" s="26">
        <f t="shared" si="149"/>
        <v>0.04679125085568196</v>
      </c>
      <c r="N298" s="26">
        <f t="shared" si="149"/>
        <v>0.04679125085568196</v>
      </c>
    </row>
    <row r="299" spans="3:14" ht="15"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</row>
    <row r="300" spans="3:14" ht="15">
      <c r="C300" s="26">
        <f>+C295/$O$295</f>
        <v>0.12214750144914856</v>
      </c>
      <c r="D300" s="26">
        <f aca="true" t="shared" si="150" ref="D300:N300">+D295/$O$295</f>
        <v>0.030834053350540833</v>
      </c>
      <c r="E300" s="26">
        <f t="shared" si="150"/>
        <v>0.07010871348419061</v>
      </c>
      <c r="F300" s="26">
        <f t="shared" si="150"/>
        <v>0.05398830291032778</v>
      </c>
      <c r="G300" s="26">
        <f t="shared" si="150"/>
        <v>0.06066463968151543</v>
      </c>
      <c r="H300" s="26">
        <f t="shared" si="150"/>
        <v>0.06727467107062002</v>
      </c>
      <c r="I300" s="26">
        <f t="shared" si="150"/>
        <v>0.09190199380967484</v>
      </c>
      <c r="J300" s="26">
        <f t="shared" si="150"/>
        <v>0.10061602484879639</v>
      </c>
      <c r="K300" s="26">
        <f t="shared" si="150"/>
        <v>0.10061602484879639</v>
      </c>
      <c r="L300" s="26">
        <f t="shared" si="150"/>
        <v>0.10061602484879639</v>
      </c>
      <c r="M300" s="26">
        <f t="shared" si="150"/>
        <v>0.10061602484879639</v>
      </c>
      <c r="N300" s="26">
        <f t="shared" si="150"/>
        <v>0.10061602484879639</v>
      </c>
    </row>
    <row r="301" spans="3:14" ht="15">
      <c r="C301" s="26">
        <f>+C296/$O$296</f>
        <v>0.05763995811496377</v>
      </c>
      <c r="D301" s="26">
        <f aca="true" t="shared" si="151" ref="D301:N301">+D296/$O$296</f>
        <v>0.09606659685827294</v>
      </c>
      <c r="E301" s="26">
        <f t="shared" si="151"/>
        <v>0.08914577831597252</v>
      </c>
      <c r="F301" s="26">
        <f t="shared" si="151"/>
        <v>0.09056927942441885</v>
      </c>
      <c r="G301" s="26">
        <f t="shared" si="151"/>
        <v>0.08906237504324556</v>
      </c>
      <c r="H301" s="26">
        <f t="shared" si="151"/>
        <v>0.08722715994826377</v>
      </c>
      <c r="I301" s="26">
        <f t="shared" si="151"/>
        <v>0.07105097979819278</v>
      </c>
      <c r="J301" s="26">
        <f t="shared" si="151"/>
        <v>0.1019561030547556</v>
      </c>
      <c r="K301" s="26">
        <f t="shared" si="151"/>
        <v>0.07932044236047855</v>
      </c>
      <c r="L301" s="26">
        <f t="shared" si="151"/>
        <v>0.07932044236047855</v>
      </c>
      <c r="M301" s="26">
        <f t="shared" si="151"/>
        <v>0.07932044236047855</v>
      </c>
      <c r="N301" s="26">
        <f t="shared" si="151"/>
        <v>0.07932044236047855</v>
      </c>
    </row>
    <row r="304" ht="15">
      <c r="A304" s="5" t="s">
        <v>842</v>
      </c>
    </row>
    <row r="306" spans="1:15" ht="15">
      <c r="A306" s="280" t="s">
        <v>843</v>
      </c>
      <c r="C306" s="8">
        <f>+$O$306*C246</f>
        <v>3068535.500394011</v>
      </c>
      <c r="D306" s="8">
        <f aca="true" t="shared" si="152" ref="D306:N306">+$O$306*D246</f>
        <v>3680058.5894405046</v>
      </c>
      <c r="E306" s="8">
        <f t="shared" si="152"/>
        <v>61785672.10401891</v>
      </c>
      <c r="F306" s="8">
        <f t="shared" si="152"/>
        <v>109200.55161544523</v>
      </c>
      <c r="G306" s="8">
        <f t="shared" si="152"/>
        <v>229321.158392435</v>
      </c>
      <c r="H306" s="8">
        <f t="shared" si="152"/>
        <v>0</v>
      </c>
      <c r="I306" s="8">
        <f t="shared" si="152"/>
        <v>109200.55161544523</v>
      </c>
      <c r="J306" s="8">
        <f t="shared" si="152"/>
        <v>0</v>
      </c>
      <c r="K306" s="8">
        <f t="shared" si="152"/>
        <v>305761.54452324664</v>
      </c>
      <c r="L306" s="8">
        <f t="shared" si="152"/>
        <v>0</v>
      </c>
      <c r="M306" s="8">
        <f t="shared" si="152"/>
        <v>0</v>
      </c>
      <c r="N306" s="8">
        <f t="shared" si="152"/>
        <v>0</v>
      </c>
      <c r="O306" s="10">
        <v>69287750</v>
      </c>
    </row>
    <row r="307" spans="1:15" ht="15">
      <c r="A307" s="280" t="s">
        <v>843</v>
      </c>
      <c r="C307" s="8">
        <f>+$O$307*C246</f>
        <v>177014.49960598897</v>
      </c>
      <c r="D307" s="8">
        <f aca="true" t="shared" si="153" ref="D307:N307">+$O$307*D246</f>
        <v>212291.41055949568</v>
      </c>
      <c r="E307" s="8">
        <f t="shared" si="153"/>
        <v>3564227.8959810873</v>
      </c>
      <c r="F307" s="8">
        <f t="shared" si="153"/>
        <v>6299.448384554768</v>
      </c>
      <c r="G307" s="8">
        <f t="shared" si="153"/>
        <v>13228.841607565011</v>
      </c>
      <c r="H307" s="8">
        <f t="shared" si="153"/>
        <v>0</v>
      </c>
      <c r="I307" s="8">
        <f t="shared" si="153"/>
        <v>6299.448384554768</v>
      </c>
      <c r="J307" s="8">
        <f t="shared" si="153"/>
        <v>0</v>
      </c>
      <c r="K307" s="8">
        <f t="shared" si="153"/>
        <v>17638.455476753352</v>
      </c>
      <c r="L307" s="8">
        <f t="shared" si="153"/>
        <v>0</v>
      </c>
      <c r="M307" s="8">
        <f t="shared" si="153"/>
        <v>0</v>
      </c>
      <c r="N307" s="8">
        <f t="shared" si="153"/>
        <v>0</v>
      </c>
      <c r="O307" s="10">
        <v>3997000</v>
      </c>
    </row>
    <row r="308" ht="15">
      <c r="O308" s="10"/>
    </row>
    <row r="311" spans="1:15" ht="12">
      <c r="A311" s="280" t="s">
        <v>545</v>
      </c>
      <c r="C311" s="216">
        <f>+$O$311*C259</f>
        <v>100080.44985122544</v>
      </c>
      <c r="D311" s="216">
        <f aca="true" t="shared" si="154" ref="D311:N311">+$O$311*D259</f>
        <v>102748.34547405434</v>
      </c>
      <c r="E311" s="216">
        <f t="shared" si="154"/>
        <v>204379.8611059994</v>
      </c>
      <c r="F311" s="216">
        <f t="shared" si="154"/>
        <v>120840.98891622479</v>
      </c>
      <c r="G311" s="216">
        <f t="shared" si="154"/>
        <v>146974.80722158207</v>
      </c>
      <c r="H311" s="216">
        <f t="shared" si="154"/>
        <v>110119.42243197563</v>
      </c>
      <c r="I311" s="216">
        <f t="shared" si="154"/>
        <v>40875.97222119988</v>
      </c>
      <c r="J311" s="216">
        <f t="shared" si="154"/>
        <v>133126.11717942692</v>
      </c>
      <c r="K311" s="216">
        <f t="shared" si="154"/>
        <v>146974.80722158207</v>
      </c>
      <c r="L311" s="216">
        <f t="shared" si="154"/>
        <v>176060.02410968833</v>
      </c>
      <c r="M311" s="216">
        <f t="shared" si="154"/>
        <v>48569.60213352056</v>
      </c>
      <c r="N311" s="216">
        <f t="shared" si="154"/>
        <v>48569.60213352056</v>
      </c>
      <c r="O311" s="10">
        <v>1379320</v>
      </c>
    </row>
    <row r="312" spans="3:15" ht="12">
      <c r="C312" s="216">
        <f>+$O$312*C259</f>
        <v>25372.5983438037</v>
      </c>
      <c r="D312" s="216">
        <f aca="true" t="shared" si="155" ref="D312:N312">+$O$312*D259</f>
        <v>26048.96864551454</v>
      </c>
      <c r="E312" s="216">
        <f t="shared" si="155"/>
        <v>51814.796327490876</v>
      </c>
      <c r="F312" s="216">
        <f t="shared" si="155"/>
        <v>30635.852254833404</v>
      </c>
      <c r="G312" s="216">
        <f t="shared" si="155"/>
        <v>37261.35080162732</v>
      </c>
      <c r="H312" s="216">
        <f t="shared" si="155"/>
        <v>27917.69900486667</v>
      </c>
      <c r="I312" s="216">
        <f t="shared" si="155"/>
        <v>10362.959265498175</v>
      </c>
      <c r="J312" s="216">
        <f t="shared" si="155"/>
        <v>33750.40285375362</v>
      </c>
      <c r="K312" s="216">
        <f t="shared" si="155"/>
        <v>37261.35080162732</v>
      </c>
      <c r="L312" s="216">
        <f t="shared" si="155"/>
        <v>44635.09389472254</v>
      </c>
      <c r="M312" s="216">
        <f t="shared" si="155"/>
        <v>12313.463903130918</v>
      </c>
      <c r="N312" s="216">
        <f t="shared" si="155"/>
        <v>12313.463903130918</v>
      </c>
      <c r="O312" s="10">
        <v>349688</v>
      </c>
    </row>
    <row r="313" spans="3:15" ht="12">
      <c r="C313" s="216">
        <f>+$O$313*C259</f>
        <v>15505.388083879972</v>
      </c>
      <c r="D313" s="216">
        <f aca="true" t="shared" si="156" ref="D313:N313">+$O$313*D259</f>
        <v>15918.723126445631</v>
      </c>
      <c r="E313" s="216">
        <f t="shared" si="156"/>
        <v>31664.41665369077</v>
      </c>
      <c r="F313" s="216">
        <f t="shared" si="156"/>
        <v>18721.80263349367</v>
      </c>
      <c r="G313" s="216">
        <f t="shared" si="156"/>
        <v>22770.695254785274</v>
      </c>
      <c r="H313" s="216">
        <f t="shared" si="156"/>
        <v>17060.718481168908</v>
      </c>
      <c r="I313" s="216">
        <f t="shared" si="156"/>
        <v>6332.883330738154</v>
      </c>
      <c r="J313" s="216">
        <f t="shared" si="156"/>
        <v>20625.128224699125</v>
      </c>
      <c r="K313" s="216">
        <f t="shared" si="156"/>
        <v>22770.695254785274</v>
      </c>
      <c r="L313" s="216">
        <f t="shared" si="156"/>
        <v>27276.84581690113</v>
      </c>
      <c r="M313" s="216">
        <f t="shared" si="156"/>
        <v>7524.851569706046</v>
      </c>
      <c r="N313" s="216">
        <f t="shared" si="156"/>
        <v>7524.851569706046</v>
      </c>
      <c r="O313" s="10">
        <v>213697</v>
      </c>
    </row>
    <row r="316" spans="1:15" ht="12">
      <c r="A316" s="280" t="s">
        <v>546</v>
      </c>
      <c r="C316" s="216">
        <f>+$O$316*C263</f>
        <v>39713.840692650294</v>
      </c>
      <c r="D316" s="216">
        <f aca="true" t="shared" si="157" ref="D316:N316">+$O$316*D263</f>
        <v>174826.8090275274</v>
      </c>
      <c r="E316" s="216">
        <f t="shared" si="157"/>
        <v>203177.1023833427</v>
      </c>
      <c r="F316" s="216">
        <f t="shared" si="157"/>
        <v>103951.07563798928</v>
      </c>
      <c r="G316" s="216">
        <f t="shared" si="157"/>
        <v>99226.0267453534</v>
      </c>
      <c r="H316" s="216">
        <f t="shared" si="157"/>
        <v>151201.56456434805</v>
      </c>
      <c r="I316" s="216">
        <f t="shared" si="157"/>
        <v>106786.1049735708</v>
      </c>
      <c r="J316" s="216">
        <f t="shared" si="157"/>
        <v>122851.27120853277</v>
      </c>
      <c r="K316" s="216">
        <f t="shared" si="157"/>
        <v>292953.03134342434</v>
      </c>
      <c r="L316" s="216">
        <f t="shared" si="157"/>
        <v>113401.17342326103</v>
      </c>
      <c r="M316" s="216">
        <f t="shared" si="157"/>
        <v>0</v>
      </c>
      <c r="N316" s="216">
        <f t="shared" si="157"/>
        <v>0</v>
      </c>
      <c r="O316" s="10">
        <v>1408088</v>
      </c>
    </row>
    <row r="317" spans="3:15" ht="12">
      <c r="C317" s="216">
        <f>+$O$317*C263</f>
        <v>10068.296051427398</v>
      </c>
      <c r="D317" s="216">
        <f aca="true" t="shared" si="158" ref="D317:N317">+$O$317*D263</f>
        <v>44322.2826177389</v>
      </c>
      <c r="E317" s="216">
        <f t="shared" si="158"/>
        <v>51509.679798993864</v>
      </c>
      <c r="F317" s="216">
        <f t="shared" si="158"/>
        <v>26353.78966460151</v>
      </c>
      <c r="G317" s="216">
        <f t="shared" si="158"/>
        <v>25155.89013439235</v>
      </c>
      <c r="H317" s="216">
        <f t="shared" si="158"/>
        <v>38332.78496669311</v>
      </c>
      <c r="I317" s="216">
        <f t="shared" si="158"/>
        <v>27072.529382727003</v>
      </c>
      <c r="J317" s="216">
        <f t="shared" si="158"/>
        <v>31145.387785438146</v>
      </c>
      <c r="K317" s="216">
        <f t="shared" si="158"/>
        <v>74269.7708729679</v>
      </c>
      <c r="L317" s="216">
        <f t="shared" si="158"/>
        <v>28749.588725019832</v>
      </c>
      <c r="M317" s="216">
        <f t="shared" si="158"/>
        <v>0</v>
      </c>
      <c r="N317" s="216">
        <f t="shared" si="158"/>
        <v>0</v>
      </c>
      <c r="O317" s="10">
        <v>356980</v>
      </c>
    </row>
    <row r="318" spans="3:15" ht="12">
      <c r="C318" s="216">
        <f>+$O$318*C263</f>
        <v>6152.863255922304</v>
      </c>
      <c r="D318" s="216">
        <f aca="true" t="shared" si="159" ref="D318:N318">+$O$318*D263</f>
        <v>27085.90835473368</v>
      </c>
      <c r="E318" s="216">
        <f t="shared" si="159"/>
        <v>31478.21781766347</v>
      </c>
      <c r="F318" s="216">
        <f t="shared" si="159"/>
        <v>16105.134697409218</v>
      </c>
      <c r="G318" s="216">
        <f t="shared" si="159"/>
        <v>15373.083120254254</v>
      </c>
      <c r="H318" s="216">
        <f t="shared" si="159"/>
        <v>23425.650468958862</v>
      </c>
      <c r="I318" s="216">
        <f t="shared" si="159"/>
        <v>16544.365643702196</v>
      </c>
      <c r="J318" s="216">
        <f t="shared" si="159"/>
        <v>19033.341006029073</v>
      </c>
      <c r="K318" s="216">
        <f t="shared" si="159"/>
        <v>45387.19778360779</v>
      </c>
      <c r="L318" s="216">
        <f t="shared" si="159"/>
        <v>17569.237851719146</v>
      </c>
      <c r="M318" s="216">
        <f t="shared" si="159"/>
        <v>0</v>
      </c>
      <c r="N318" s="216">
        <f t="shared" si="159"/>
        <v>0</v>
      </c>
      <c r="O318" s="10">
        <v>218155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3"/>
  <ignoredErrors>
    <ignoredError sqref="O98 O141 O214 O11 O17 O194:O203 O178:O180 O165:O166 O123:O130 O167 O131 F42 J42 M35 F35 H35 O102 H207:J207 D20 E68 E78" formula="1"/>
    <ignoredError sqref="B32 O47 O15 O10 B48 O58 O64:O67 O69:P70 O80 O113:O115 O148 O174 O190 O204 O208 O143:O144 O122 O153:O156 O223:O228 O234 O218:O219 O215 O186:O187 O33:O34 B36:N36 O37 O19:O25 O171 B180 B184 O210 O12 O183 N180 O81 O151 O150 O206" formulaRange="1"/>
    <ignoredError sqref="O132 O152" formula="1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D125"/>
  <sheetViews>
    <sheetView workbookViewId="0" topLeftCell="A17">
      <selection activeCell="A20" sqref="A20:B20"/>
    </sheetView>
  </sheetViews>
  <sheetFormatPr defaultColWidth="11.421875" defaultRowHeight="15"/>
  <cols>
    <col min="1" max="1" width="39.421875" style="0" customWidth="1"/>
    <col min="2" max="2" width="18.421875" style="1" bestFit="1" customWidth="1"/>
    <col min="3" max="3" width="15.8515625" style="0" bestFit="1" customWidth="1"/>
    <col min="4" max="4" width="15.57421875" style="0" bestFit="1" customWidth="1"/>
  </cols>
  <sheetData>
    <row r="1" ht="15">
      <c r="A1" t="s">
        <v>0</v>
      </c>
    </row>
    <row r="2" ht="15">
      <c r="A2" t="s">
        <v>675</v>
      </c>
    </row>
    <row r="4" spans="1:3" s="2" customFormat="1" ht="15">
      <c r="A4" s="2" t="s">
        <v>183</v>
      </c>
      <c r="B4" s="3">
        <f>+B5+B15</f>
        <v>2483883045.4707365</v>
      </c>
      <c r="C4" s="4"/>
    </row>
    <row r="5" spans="1:2" s="2" customFormat="1" ht="15">
      <c r="A5" s="2" t="s">
        <v>184</v>
      </c>
      <c r="B5" s="3">
        <f>SUM(B6:B13)</f>
        <v>2431387261.8907366</v>
      </c>
    </row>
    <row r="6" spans="1:2" ht="15">
      <c r="A6" t="s">
        <v>185</v>
      </c>
      <c r="B6" s="1">
        <f>+'PUBLICO COMPLETO'!O9</f>
        <v>258044512.73141426</v>
      </c>
    </row>
    <row r="7" spans="1:2" ht="15">
      <c r="A7" t="s">
        <v>188</v>
      </c>
      <c r="B7" s="1">
        <f>+'PUBLICO COMPLETO'!O13</f>
        <v>1702528130.2381034</v>
      </c>
    </row>
    <row r="8" spans="1:2" ht="15">
      <c r="A8" t="s">
        <v>192</v>
      </c>
      <c r="B8" s="1">
        <f>+'PUBLICO COMPLETO'!O18</f>
        <v>55867790.616619125</v>
      </c>
    </row>
    <row r="9" spans="1:2" ht="15">
      <c r="A9" t="s">
        <v>203</v>
      </c>
      <c r="B9" s="1">
        <f>+'PUBLICO COMPLETO'!O30</f>
        <v>57882060</v>
      </c>
    </row>
    <row r="10" spans="1:2" ht="15">
      <c r="A10" t="s">
        <v>205</v>
      </c>
      <c r="B10" s="1">
        <f>+'PUBLICO COMPLETO'!O32</f>
        <v>100988688.33781116</v>
      </c>
    </row>
    <row r="11" spans="1:2" s="24" customFormat="1" ht="15">
      <c r="A11" s="24" t="s">
        <v>210</v>
      </c>
      <c r="B11" s="25">
        <f>+'PUBLICO COMPLETO'!O37</f>
        <v>39100</v>
      </c>
    </row>
    <row r="12" spans="1:2" ht="15">
      <c r="A12" t="s">
        <v>212</v>
      </c>
      <c r="B12" s="1">
        <f>+'PUBLICO COMPLETO'!O39</f>
        <v>70609320</v>
      </c>
    </row>
    <row r="13" spans="1:2" ht="15">
      <c r="A13" t="s">
        <v>217</v>
      </c>
      <c r="B13" s="1">
        <f>+'PUBLICO COMPLETO'!O44</f>
        <v>185427659.9667886</v>
      </c>
    </row>
    <row r="15" spans="1:2" s="2" customFormat="1" ht="15">
      <c r="A15" s="2" t="s">
        <v>221</v>
      </c>
      <c r="B15" s="3">
        <f>SUM(B16:B18)</f>
        <v>52495783.58</v>
      </c>
    </row>
    <row r="16" spans="1:2" ht="15">
      <c r="A16" t="s">
        <v>222</v>
      </c>
      <c r="B16" s="1">
        <f>+'PUBLICO COMPLETO'!O52</f>
        <v>24285783.58</v>
      </c>
    </row>
    <row r="17" spans="1:2" ht="15">
      <c r="A17" t="s">
        <v>320</v>
      </c>
      <c r="B17" s="1">
        <f>+'PUBLICO COMPLETO'!O53</f>
        <v>3210000</v>
      </c>
    </row>
    <row r="18" spans="1:2" ht="15">
      <c r="A18" t="s">
        <v>462</v>
      </c>
      <c r="B18" s="1">
        <f>+'PUBLICO COMPLETO'!O55</f>
        <v>25000000</v>
      </c>
    </row>
    <row r="20" spans="1:3" s="2" customFormat="1" ht="15.5">
      <c r="A20" s="386" t="s">
        <v>117</v>
      </c>
      <c r="B20" s="385">
        <f>+B21+B117</f>
        <v>2450845130.454707</v>
      </c>
      <c r="C20" s="4">
        <f>+B20-'PUBLICO COMPLETO'!O60</f>
        <v>0</v>
      </c>
    </row>
    <row r="21" spans="1:2" s="2" customFormat="1" ht="15">
      <c r="A21" s="2" t="s">
        <v>118</v>
      </c>
      <c r="B21" s="4">
        <f>+B22+B41+B45+B50+B55+B65+B67+B79+B82+B89+B95+B103+B107</f>
        <v>2434465130.454707</v>
      </c>
    </row>
    <row r="22" spans="1:4" s="2" customFormat="1" ht="15">
      <c r="A22" s="2" t="s">
        <v>132</v>
      </c>
      <c r="B22" s="3">
        <f>SUM(B23:B39)</f>
        <v>1357260000</v>
      </c>
      <c r="D22" s="4">
        <f>+B20-B22-B117</f>
        <v>1077205130.4547071</v>
      </c>
    </row>
    <row r="23" spans="1:2" ht="15">
      <c r="A23" t="s">
        <v>97</v>
      </c>
      <c r="B23" s="1">
        <f>+'PUBLICO COMPLETO'!O63</f>
        <v>806988000</v>
      </c>
    </row>
    <row r="24" spans="1:2" ht="15">
      <c r="A24" t="s">
        <v>99</v>
      </c>
      <c r="B24" s="1">
        <f>+'PUBLICO COMPLETO'!O64</f>
        <v>17928000</v>
      </c>
    </row>
    <row r="25" spans="1:2" ht="15">
      <c r="A25" t="s">
        <v>100</v>
      </c>
      <c r="B25" s="1">
        <f>+'PUBLICO COMPLETO'!O65</f>
        <v>68784000</v>
      </c>
    </row>
    <row r="26" spans="1:2" ht="15">
      <c r="A26" t="s">
        <v>101</v>
      </c>
      <c r="B26" s="1">
        <f>+'PUBLICO COMPLETO'!O66</f>
        <v>8256000</v>
      </c>
    </row>
    <row r="27" spans="1:2" ht="15">
      <c r="A27" t="s">
        <v>102</v>
      </c>
      <c r="B27" s="1">
        <f>+'PUBLICO COMPLETO'!O67</f>
        <v>68784000</v>
      </c>
    </row>
    <row r="28" spans="1:2" ht="15">
      <c r="A28" t="s">
        <v>103</v>
      </c>
      <c r="B28" s="1">
        <f>+'PUBLICO COMPLETO'!O68</f>
        <v>50484000</v>
      </c>
    </row>
    <row r="29" spans="1:2" ht="15">
      <c r="A29" t="s">
        <v>313</v>
      </c>
      <c r="B29" s="1">
        <f>+'PUBLICO COMPLETO'!O69</f>
        <v>0</v>
      </c>
    </row>
    <row r="30" spans="1:2" ht="15">
      <c r="A30" t="s">
        <v>676</v>
      </c>
      <c r="B30" s="1">
        <f>+'PUBLICO COMPLETO'!O70</f>
        <v>54216000</v>
      </c>
    </row>
    <row r="31" spans="1:2" ht="15">
      <c r="A31" t="s">
        <v>106</v>
      </c>
      <c r="B31" s="1">
        <f>+'PUBLICO COMPLETO'!O71</f>
        <v>14900000</v>
      </c>
    </row>
    <row r="32" spans="1:2" ht="15">
      <c r="A32" t="s">
        <v>108</v>
      </c>
      <c r="B32" s="1">
        <f>+'PUBLICO COMPLETO'!O72</f>
        <v>22968000</v>
      </c>
    </row>
    <row r="33" spans="1:2" ht="15">
      <c r="A33" t="s">
        <v>109</v>
      </c>
      <c r="B33" s="1">
        <f>+'PUBLICO COMPLETO'!O73</f>
        <v>4908000</v>
      </c>
    </row>
    <row r="34" spans="1:2" ht="15">
      <c r="A34" t="s">
        <v>110</v>
      </c>
      <c r="B34" s="1">
        <f>+'PUBLICO COMPLETO'!O74</f>
        <v>68616000</v>
      </c>
    </row>
    <row r="35" spans="1:2" ht="15">
      <c r="A35" t="s">
        <v>111</v>
      </c>
      <c r="B35" s="1">
        <f>+'PUBLICO COMPLETO'!O75</f>
        <v>96780000</v>
      </c>
    </row>
    <row r="36" spans="1:2" ht="15">
      <c r="A36" t="s">
        <v>112</v>
      </c>
      <c r="B36" s="1">
        <f>+'PUBLICO COMPLETO'!O76</f>
        <v>32268000</v>
      </c>
    </row>
    <row r="37" spans="1:2" ht="15">
      <c r="A37" t="s">
        <v>113</v>
      </c>
      <c r="B37" s="1">
        <f>+'PUBLICO COMPLETO'!O77</f>
        <v>24252000</v>
      </c>
    </row>
    <row r="38" spans="1:2" ht="15">
      <c r="A38" t="s">
        <v>114</v>
      </c>
      <c r="B38" s="1">
        <f>+'PUBLICO COMPLETO'!O78</f>
        <v>16128000</v>
      </c>
    </row>
    <row r="39" spans="1:2" ht="15">
      <c r="A39" t="s">
        <v>116</v>
      </c>
      <c r="B39" s="1">
        <f>+'PUBLICO COMPLETO'!O80</f>
        <v>1000000</v>
      </c>
    </row>
    <row r="41" spans="1:2" s="2" customFormat="1" ht="15">
      <c r="A41" s="2" t="s">
        <v>1</v>
      </c>
      <c r="B41" s="3">
        <f>SUM(B42:B43)</f>
        <v>104853000</v>
      </c>
    </row>
    <row r="42" spans="1:2" ht="15">
      <c r="A42" t="s">
        <v>2</v>
      </c>
      <c r="B42" s="1">
        <f>+'PUBLICO COMPLETO'!O82</f>
        <v>20330000</v>
      </c>
    </row>
    <row r="43" spans="1:2" ht="15">
      <c r="A43" t="s">
        <v>274</v>
      </c>
      <c r="B43" s="1">
        <f>+'PUBLICO COMPLETO'!O81-'CTAS MAYORES PUBLICO'!B42</f>
        <v>84523000</v>
      </c>
    </row>
    <row r="45" spans="1:2" s="2" customFormat="1" ht="15">
      <c r="A45" s="2" t="s">
        <v>5</v>
      </c>
      <c r="B45" s="3">
        <f>SUM(B46:B48)</f>
        <v>64510000</v>
      </c>
    </row>
    <row r="46" spans="1:2" ht="15">
      <c r="A46" t="s">
        <v>6</v>
      </c>
      <c r="B46" s="1">
        <f>+'PUBLICO COMPLETO'!O98</f>
        <v>7033000</v>
      </c>
    </row>
    <row r="47" spans="1:2" ht="15">
      <c r="A47" t="s">
        <v>576</v>
      </c>
      <c r="B47" s="1">
        <f>+'PUBLICO COMPLETO'!O99</f>
        <v>2072000</v>
      </c>
    </row>
    <row r="48" spans="1:2" ht="15">
      <c r="A48" t="s">
        <v>275</v>
      </c>
      <c r="B48" s="1">
        <f>+'PUBLICO COMPLETO'!O100</f>
        <v>55405000</v>
      </c>
    </row>
    <row r="50" spans="1:2" s="2" customFormat="1" ht="15">
      <c r="A50" s="2" t="s">
        <v>7</v>
      </c>
      <c r="B50" s="3">
        <f>SUM(B51:B53)</f>
        <v>109088000</v>
      </c>
    </row>
    <row r="51" spans="1:2" ht="15">
      <c r="A51" t="s">
        <v>8</v>
      </c>
      <c r="B51" s="1">
        <f>+'PUBLICO COMPLETO'!O105</f>
        <v>29561000</v>
      </c>
    </row>
    <row r="52" spans="1:2" ht="15">
      <c r="A52" t="s">
        <v>11</v>
      </c>
      <c r="B52" s="1">
        <f>+'PUBLICO COMPLETO'!O111</f>
        <v>79452000</v>
      </c>
    </row>
    <row r="53" spans="1:2" ht="15">
      <c r="A53" t="s">
        <v>12</v>
      </c>
      <c r="B53" s="1">
        <f>+'PUBLICO COMPLETO'!O119</f>
        <v>75000</v>
      </c>
    </row>
    <row r="55" spans="1:2" s="2" customFormat="1" ht="15">
      <c r="A55" s="2" t="s">
        <v>119</v>
      </c>
      <c r="B55" s="4">
        <f>+B56+B61</f>
        <v>112242830.45470737</v>
      </c>
    </row>
    <row r="56" spans="1:2" ht="15">
      <c r="A56" t="s">
        <v>120</v>
      </c>
      <c r="B56" s="1">
        <f>SUM(B57:B60)</f>
        <v>93933830.45470737</v>
      </c>
    </row>
    <row r="57" spans="1:2" ht="15">
      <c r="A57" t="s">
        <v>122</v>
      </c>
      <c r="B57" s="1">
        <f>+'PUBLICO COMPLETO'!O122</f>
        <v>24838830.454707365</v>
      </c>
    </row>
    <row r="58" spans="1:2" ht="15">
      <c r="A58" t="s">
        <v>123</v>
      </c>
      <c r="B58" s="1">
        <f>+'PUBLICO COMPLETO'!O123</f>
        <v>54897000</v>
      </c>
    </row>
    <row r="59" spans="1:2" ht="15">
      <c r="A59" t="s">
        <v>129</v>
      </c>
      <c r="B59" s="1">
        <f>+'PUBLICO COMPLETO'!O134</f>
        <v>3349000</v>
      </c>
    </row>
    <row r="60" spans="1:2" ht="15">
      <c r="A60" t="s">
        <v>575</v>
      </c>
      <c r="B60" s="1">
        <f>+'PUBLICO COMPLETO'!O135</f>
        <v>10849000</v>
      </c>
    </row>
    <row r="61" spans="1:2" ht="15">
      <c r="A61" t="s">
        <v>121</v>
      </c>
      <c r="B61" s="1">
        <f>SUM(B62:B64)</f>
        <v>18309000</v>
      </c>
    </row>
    <row r="62" spans="1:2" ht="15">
      <c r="A62" t="s">
        <v>125</v>
      </c>
      <c r="B62" s="1">
        <f>+'PUBLICO COMPLETO'!O137</f>
        <v>14256000</v>
      </c>
    </row>
    <row r="63" spans="1:2" ht="15">
      <c r="A63" t="s">
        <v>574</v>
      </c>
      <c r="B63" s="1">
        <f>+'PUBLICO COMPLETO'!O138</f>
        <v>3512000</v>
      </c>
    </row>
    <row r="64" spans="1:2" ht="15">
      <c r="A64" t="s">
        <v>228</v>
      </c>
      <c r="B64" s="1">
        <f>+'PUBLICO COMPLETO'!O139</f>
        <v>541000</v>
      </c>
    </row>
    <row r="65" spans="1:2" s="2" customFormat="1" ht="15">
      <c r="A65" s="2" t="s">
        <v>13</v>
      </c>
      <c r="B65" s="3">
        <f>+'PUBLICO COMPLETO'!O140</f>
        <v>16380000</v>
      </c>
    </row>
    <row r="66" s="2" customFormat="1" ht="15">
      <c r="B66" s="3"/>
    </row>
    <row r="67" spans="1:3" s="2" customFormat="1" ht="15">
      <c r="A67" s="2" t="s">
        <v>22</v>
      </c>
      <c r="B67" s="3">
        <f>SUM(B68:B75)</f>
        <v>257637400</v>
      </c>
      <c r="C67" s="4"/>
    </row>
    <row r="68" spans="1:2" ht="15">
      <c r="A68" t="s">
        <v>23</v>
      </c>
      <c r="B68" s="1">
        <f>+'PUBLICO COMPLETO'!O154</f>
        <v>26522000</v>
      </c>
    </row>
    <row r="69" spans="1:2" ht="15">
      <c r="A69" s="24" t="s">
        <v>24</v>
      </c>
      <c r="B69" s="1">
        <f>+'PUBLICO COMPLETO'!O161</f>
        <v>9984000</v>
      </c>
    </row>
    <row r="70" spans="1:2" ht="15">
      <c r="A70" t="s">
        <v>25</v>
      </c>
      <c r="B70" s="1">
        <f>+'PUBLICO COMPLETO'!O162</f>
        <v>3204000</v>
      </c>
    </row>
    <row r="71" spans="1:2" ht="15">
      <c r="A71" t="s">
        <v>26</v>
      </c>
      <c r="B71" s="1">
        <f>+'PUBLICO COMPLETO'!O165</f>
        <v>58020000</v>
      </c>
    </row>
    <row r="72" spans="1:2" ht="15">
      <c r="A72" t="s">
        <v>27</v>
      </c>
      <c r="B72" s="1">
        <f>+'PUBLICO COMPLETO'!O169</f>
        <v>31340400</v>
      </c>
    </row>
    <row r="73" spans="1:2" ht="15">
      <c r="A73" t="s">
        <v>28</v>
      </c>
      <c r="B73" s="1">
        <f>+'PUBLICO COMPLETO'!O183</f>
        <v>9558000</v>
      </c>
    </row>
    <row r="74" spans="1:2" ht="15">
      <c r="A74" t="s">
        <v>321</v>
      </c>
      <c r="B74" s="1">
        <f>+'PUBLICO COMPLETO'!O189</f>
        <v>44645000</v>
      </c>
    </row>
    <row r="75" spans="1:2" s="24" customFormat="1" ht="15">
      <c r="A75" s="24" t="s">
        <v>232</v>
      </c>
      <c r="B75" s="25">
        <f>+'PUBLICO COMPLETO'!O199</f>
        <v>74364000</v>
      </c>
    </row>
    <row r="76" spans="1:2" ht="15" hidden="1">
      <c r="A76" t="s">
        <v>245</v>
      </c>
      <c r="B76" s="1">
        <v>15409000</v>
      </c>
    </row>
    <row r="77" spans="1:2" ht="15" hidden="1">
      <c r="A77" t="s">
        <v>246</v>
      </c>
      <c r="B77" s="1">
        <v>50000</v>
      </c>
    </row>
    <row r="79" spans="1:2" s="2" customFormat="1" ht="15">
      <c r="A79" s="2" t="s">
        <v>51</v>
      </c>
      <c r="B79" s="3">
        <f>+B80</f>
        <v>80000</v>
      </c>
    </row>
    <row r="80" spans="1:2" ht="15">
      <c r="A80" t="s">
        <v>52</v>
      </c>
      <c r="B80" s="1">
        <f>+'PUBLICO COMPLETO'!O228</f>
        <v>80000</v>
      </c>
    </row>
    <row r="82" spans="1:2" s="2" customFormat="1" ht="15">
      <c r="A82" s="2" t="s">
        <v>53</v>
      </c>
      <c r="B82" s="3">
        <f>SUM(B83:B87)</f>
        <v>71189000</v>
      </c>
    </row>
    <row r="83" spans="1:2" ht="15">
      <c r="A83" t="s">
        <v>54</v>
      </c>
      <c r="B83" s="1">
        <f>+'PUBLICO COMPLETO'!O231</f>
        <v>42277000</v>
      </c>
    </row>
    <row r="84" spans="1:2" ht="15">
      <c r="A84" t="s">
        <v>276</v>
      </c>
      <c r="B84" s="1">
        <f>+'PUBLICO COMPLETO'!O246</f>
        <v>2681000</v>
      </c>
    </row>
    <row r="85" spans="1:2" ht="15">
      <c r="A85" t="s">
        <v>57</v>
      </c>
      <c r="B85" s="1">
        <f>+'PUBLICO COMPLETO'!O249</f>
        <v>8410000</v>
      </c>
    </row>
    <row r="86" spans="1:2" ht="15">
      <c r="A86" t="s">
        <v>59</v>
      </c>
      <c r="B86" s="1">
        <f>+'PUBLICO COMPLETO'!O254</f>
        <v>15331000</v>
      </c>
    </row>
    <row r="87" spans="1:2" ht="15">
      <c r="A87" t="s">
        <v>60</v>
      </c>
      <c r="B87" s="1">
        <f>+'PUBLICO COMPLETO'!O264</f>
        <v>2490000</v>
      </c>
    </row>
    <row r="89" spans="1:2" s="2" customFormat="1" ht="15">
      <c r="A89" s="2" t="s">
        <v>61</v>
      </c>
      <c r="B89" s="3">
        <f>SUM(B90:B93)</f>
        <v>85012900</v>
      </c>
    </row>
    <row r="90" spans="1:2" ht="15">
      <c r="A90" t="s">
        <v>63</v>
      </c>
      <c r="B90" s="1">
        <f>+'PUBLICO COMPLETO'!O267</f>
        <v>19581000</v>
      </c>
    </row>
    <row r="91" spans="1:2" ht="15">
      <c r="A91" t="s">
        <v>65</v>
      </c>
      <c r="B91" s="1">
        <f>+'PUBLICO COMPLETO'!O280</f>
        <v>21308000</v>
      </c>
    </row>
    <row r="92" spans="1:2" ht="15">
      <c r="A92" t="s">
        <v>244</v>
      </c>
      <c r="B92" s="1">
        <f>+'PUBLICO COMPLETO'!O296</f>
        <v>1112000</v>
      </c>
    </row>
    <row r="93" spans="1:2" ht="15">
      <c r="A93" t="s">
        <v>68</v>
      </c>
      <c r="B93" s="1">
        <f>+'PUBLICO COMPLETO'!O301</f>
        <v>43011900</v>
      </c>
    </row>
    <row r="95" spans="1:2" s="2" customFormat="1" ht="15">
      <c r="A95" s="2" t="s">
        <v>62</v>
      </c>
      <c r="B95" s="3">
        <f>SUM(B96:B100)</f>
        <v>160236000</v>
      </c>
    </row>
    <row r="96" spans="1:2" ht="15">
      <c r="A96" t="s">
        <v>54</v>
      </c>
      <c r="B96" s="1">
        <f>+'PUBLICO COMPLETO'!O319</f>
        <v>99996000</v>
      </c>
    </row>
    <row r="97" spans="1:2" ht="15">
      <c r="A97" t="s">
        <v>277</v>
      </c>
      <c r="B97" s="1">
        <f>+'PUBLICO COMPLETO'!O320</f>
        <v>6360000</v>
      </c>
    </row>
    <row r="98" spans="1:2" ht="15">
      <c r="A98" t="s">
        <v>57</v>
      </c>
      <c r="B98" s="1">
        <f>+'PUBLICO COMPLETO'!O321</f>
        <v>9000000</v>
      </c>
    </row>
    <row r="99" spans="1:2" ht="15">
      <c r="A99" t="s">
        <v>455</v>
      </c>
      <c r="B99" s="1">
        <f>+'PUBLICO COMPLETO'!O322</f>
        <v>23640000</v>
      </c>
    </row>
    <row r="100" spans="1:2" ht="15">
      <c r="A100" t="s">
        <v>70</v>
      </c>
      <c r="B100" s="1">
        <f>+'PUBLICO COMPLETO'!O323</f>
        <v>21240000</v>
      </c>
    </row>
    <row r="103" spans="1:2" s="2" customFormat="1" ht="15">
      <c r="A103" s="2" t="s">
        <v>71</v>
      </c>
      <c r="B103" s="3">
        <f>SUM(B104:B105)</f>
        <v>10526000</v>
      </c>
    </row>
    <row r="104" spans="1:2" ht="15">
      <c r="A104" t="s">
        <v>72</v>
      </c>
      <c r="B104" s="1">
        <f>+'PUBLICO COMPLETO'!O325</f>
        <v>3858000</v>
      </c>
    </row>
    <row r="105" spans="1:2" ht="15">
      <c r="A105" t="s">
        <v>73</v>
      </c>
      <c r="B105" s="1">
        <f>+'PUBLICO COMPLETO'!O330</f>
        <v>6668000</v>
      </c>
    </row>
    <row r="107" spans="1:2" s="2" customFormat="1" ht="15">
      <c r="A107" s="2" t="s">
        <v>75</v>
      </c>
      <c r="B107" s="3">
        <f>SUM(B108:B115)</f>
        <v>85450000</v>
      </c>
    </row>
    <row r="108" spans="1:2" ht="15">
      <c r="A108" t="s">
        <v>76</v>
      </c>
      <c r="B108" s="1">
        <f>+'PUBLICO COMPLETO'!O334</f>
        <v>2268000</v>
      </c>
    </row>
    <row r="109" spans="1:2" ht="15">
      <c r="A109" t="s">
        <v>77</v>
      </c>
      <c r="B109" s="1">
        <f>+'PUBLICO COMPLETO'!O341</f>
        <v>8436000</v>
      </c>
    </row>
    <row r="110" spans="1:2" ht="15">
      <c r="A110" t="s">
        <v>80</v>
      </c>
      <c r="B110" s="1">
        <f>+'PUBLICO COMPLETO'!O344</f>
        <v>25080000</v>
      </c>
    </row>
    <row r="111" spans="1:2" ht="15">
      <c r="A111" t="s">
        <v>83</v>
      </c>
      <c r="B111" s="1">
        <f>+'PUBLICO COMPLETO'!O347</f>
        <v>3752000</v>
      </c>
    </row>
    <row r="112" spans="1:2" ht="15">
      <c r="A112" t="s">
        <v>84</v>
      </c>
      <c r="B112" s="1">
        <f>+'PUBLICO COMPLETO'!O351</f>
        <v>804000</v>
      </c>
    </row>
    <row r="113" spans="1:2" ht="15">
      <c r="A113" t="s">
        <v>85</v>
      </c>
      <c r="B113" s="1">
        <f>+'PUBLICO COMPLETO'!O352</f>
        <v>23800000</v>
      </c>
    </row>
    <row r="114" spans="1:2" ht="15">
      <c r="A114" t="s">
        <v>86</v>
      </c>
      <c r="B114" s="1">
        <f>+'PUBLICO COMPLETO'!O367</f>
        <v>708000</v>
      </c>
    </row>
    <row r="115" spans="1:2" ht="15">
      <c r="A115" t="s">
        <v>3</v>
      </c>
      <c r="B115" s="1">
        <f>+'PUBLICO COMPLETO'!O368</f>
        <v>20602000</v>
      </c>
    </row>
    <row r="117" spans="1:2" s="2" customFormat="1" ht="15">
      <c r="A117" s="2" t="s">
        <v>91</v>
      </c>
      <c r="B117" s="3">
        <f>+B118</f>
        <v>16380000</v>
      </c>
    </row>
    <row r="118" spans="1:2" s="2" customFormat="1" ht="15">
      <c r="A118" s="2" t="s">
        <v>92</v>
      </c>
      <c r="B118" s="3">
        <f>SUM(B119:B122)</f>
        <v>16380000</v>
      </c>
    </row>
    <row r="119" spans="1:2" ht="15">
      <c r="A119" t="s">
        <v>93</v>
      </c>
      <c r="B119" s="1">
        <f>+'PUBLICO COMPLETO'!O379</f>
        <v>8088000</v>
      </c>
    </row>
    <row r="120" spans="1:2" ht="15">
      <c r="A120" t="s">
        <v>94</v>
      </c>
      <c r="B120" s="1">
        <f>+'PUBLICO COMPLETO'!O380</f>
        <v>588000</v>
      </c>
    </row>
    <row r="121" spans="1:2" ht="15">
      <c r="A121" t="s">
        <v>278</v>
      </c>
      <c r="B121" s="1">
        <f>+'PUBLICO COMPLETO'!O381</f>
        <v>7704000</v>
      </c>
    </row>
    <row r="122" spans="1:2" ht="15">
      <c r="A122" t="s">
        <v>127</v>
      </c>
      <c r="B122" s="1">
        <f>+'PUBLICO COMPLETO'!O382</f>
        <v>0</v>
      </c>
    </row>
    <row r="124" ht="15">
      <c r="A124" t="s">
        <v>96</v>
      </c>
    </row>
    <row r="125" spans="1:2" s="2" customFormat="1" ht="15">
      <c r="A125" s="2" t="s">
        <v>182</v>
      </c>
      <c r="B125" s="3">
        <f>+B4-B20</f>
        <v>33037915.016029358</v>
      </c>
    </row>
  </sheetData>
  <printOptions/>
  <pageMargins left="0.7" right="0.7" top="0.75" bottom="0.75" header="0.3" footer="0.3"/>
  <pageSetup horizontalDpi="600" verticalDpi="600" orientation="portrait" r:id="rId1"/>
  <ignoredErrors>
    <ignoredError sqref="B20:B2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D126"/>
  <sheetViews>
    <sheetView workbookViewId="0" topLeftCell="A1">
      <selection activeCell="E26" sqref="E26"/>
    </sheetView>
  </sheetViews>
  <sheetFormatPr defaultColWidth="11.421875" defaultRowHeight="15"/>
  <cols>
    <col min="1" max="1" width="44.8515625" style="0" bestFit="1" customWidth="1"/>
    <col min="2" max="2" width="16.7109375" style="1" bestFit="1" customWidth="1"/>
    <col min="3" max="3" width="13.00390625" style="0" bestFit="1" customWidth="1"/>
  </cols>
  <sheetData>
    <row r="1" ht="15">
      <c r="A1" t="s">
        <v>0</v>
      </c>
    </row>
    <row r="3" ht="15">
      <c r="A3" t="s">
        <v>656</v>
      </c>
    </row>
    <row r="6" spans="1:2" s="2" customFormat="1" ht="15">
      <c r="A6" s="2" t="s">
        <v>142</v>
      </c>
      <c r="B6" s="3">
        <f>+B7+B13</f>
        <v>396617971.33028114</v>
      </c>
    </row>
    <row r="7" spans="1:2" s="2" customFormat="1" ht="15">
      <c r="A7" s="2" t="s">
        <v>143</v>
      </c>
      <c r="B7" s="3">
        <f>SUM(B8:B11)</f>
        <v>205068254.8</v>
      </c>
    </row>
    <row r="8" spans="1:2" ht="15">
      <c r="A8" t="s">
        <v>144</v>
      </c>
      <c r="B8" s="1">
        <f>+'PRIVADO COMPLETO'!O9</f>
        <v>73284750</v>
      </c>
    </row>
    <row r="9" spans="1:2" ht="15">
      <c r="A9" t="s">
        <v>145</v>
      </c>
      <c r="B9" s="1">
        <f>+'PRIVADO COMPLETO'!O10</f>
        <v>55000000</v>
      </c>
    </row>
    <row r="10" spans="1:2" ht="15">
      <c r="A10" t="s">
        <v>146</v>
      </c>
      <c r="B10" s="1">
        <f>+'PRIVADO COMPLETO'!O11</f>
        <v>7512000</v>
      </c>
    </row>
    <row r="11" spans="1:2" ht="15">
      <c r="A11" t="s">
        <v>152</v>
      </c>
      <c r="B11" s="1">
        <f>+'PRIVADO COMPLETO'!O17</f>
        <v>69271504.8</v>
      </c>
    </row>
    <row r="13" spans="1:2" s="2" customFormat="1" ht="15">
      <c r="A13" s="2" t="s">
        <v>157</v>
      </c>
      <c r="B13" s="3">
        <f>+B14+B17+B23+B26</f>
        <v>191549716.5302811</v>
      </c>
    </row>
    <row r="14" spans="1:2" s="2" customFormat="1" ht="15">
      <c r="A14" s="2" t="s">
        <v>92</v>
      </c>
      <c r="B14" s="3">
        <f>+B15</f>
        <v>730977.5</v>
      </c>
    </row>
    <row r="15" spans="1:2" ht="15">
      <c r="A15" t="s">
        <v>158</v>
      </c>
      <c r="B15" s="1">
        <f>+'PRIVADO COMPLETO'!O29</f>
        <v>730977.5</v>
      </c>
    </row>
    <row r="17" spans="1:2" s="2" customFormat="1" ht="15">
      <c r="A17" s="2" t="s">
        <v>7</v>
      </c>
      <c r="B17" s="3">
        <f>SUM(B18:B21)</f>
        <v>165271325.34006992</v>
      </c>
    </row>
    <row r="18" spans="1:2" ht="15">
      <c r="A18" t="s">
        <v>159</v>
      </c>
      <c r="B18" s="1">
        <f>+'PRIVADO COMPLETO'!O32</f>
        <v>75201200</v>
      </c>
    </row>
    <row r="19" spans="1:2" ht="15">
      <c r="A19" t="s">
        <v>162</v>
      </c>
      <c r="B19" s="1">
        <f>+'PRIVADO COMPLETO'!O35</f>
        <v>75154000.34006992</v>
      </c>
    </row>
    <row r="20" spans="1:2" ht="15">
      <c r="A20" t="s">
        <v>163</v>
      </c>
      <c r="B20" s="1">
        <f>+'PRIVADO COMPLETO'!O36</f>
        <v>14916125</v>
      </c>
    </row>
    <row r="21" spans="1:2" ht="15">
      <c r="A21" t="s">
        <v>165</v>
      </c>
      <c r="B21" s="1">
        <f>+'PRIVADO COMPLETO'!O39</f>
        <v>0</v>
      </c>
    </row>
    <row r="23" spans="1:2" s="2" customFormat="1" ht="15">
      <c r="A23" s="2" t="s">
        <v>22</v>
      </c>
      <c r="B23" s="3">
        <f>+B24</f>
        <v>19999999.69021117</v>
      </c>
    </row>
    <row r="24" spans="1:2" ht="15">
      <c r="A24" t="s">
        <v>166</v>
      </c>
      <c r="B24" s="1">
        <f>+'PRIVADO COMPLETO'!O42</f>
        <v>19999999.69021117</v>
      </c>
    </row>
    <row r="26" spans="1:2" s="2" customFormat="1" ht="15">
      <c r="A26" s="2" t="s">
        <v>75</v>
      </c>
      <c r="B26" s="3">
        <f>SUM(B27:B28)</f>
        <v>5547414</v>
      </c>
    </row>
    <row r="27" spans="1:2" ht="15">
      <c r="A27" t="s">
        <v>167</v>
      </c>
      <c r="B27" s="1">
        <f>+'PRIVADO COMPLETO'!O47</f>
        <v>0</v>
      </c>
    </row>
    <row r="28" spans="1:2" ht="15">
      <c r="A28" t="s">
        <v>168</v>
      </c>
      <c r="B28" s="1">
        <f>+'PRIVADO COMPLETO'!O48</f>
        <v>5547414</v>
      </c>
    </row>
    <row r="31" spans="1:2" s="2" customFormat="1" ht="15">
      <c r="A31" s="2" t="s">
        <v>117</v>
      </c>
      <c r="B31" s="3">
        <f>+B32+B119</f>
        <v>375974081.78930277</v>
      </c>
    </row>
    <row r="32" spans="1:2" s="2" customFormat="1" ht="15">
      <c r="A32" s="2" t="s">
        <v>118</v>
      </c>
      <c r="B32" s="3">
        <f>+B33+B57+B60+B64+B70+B79+B81+B91+B95+B101+B109+B106</f>
        <v>350473701.5193028</v>
      </c>
    </row>
    <row r="33" spans="1:3" s="2" customFormat="1" ht="15">
      <c r="A33" s="2" t="s">
        <v>132</v>
      </c>
      <c r="B33" s="3">
        <f>SUM(B34:B55)</f>
        <v>57524000</v>
      </c>
      <c r="C33" s="4"/>
    </row>
    <row r="34" spans="1:2" ht="15">
      <c r="A34" t="s">
        <v>97</v>
      </c>
      <c r="B34" s="1">
        <f>+'PRIVADO COMPLETO'!O57</f>
        <v>12000000</v>
      </c>
    </row>
    <row r="35" spans="1:2" ht="15">
      <c r="A35" t="s">
        <v>98</v>
      </c>
      <c r="B35" s="1">
        <f>+'PRIVADO COMPLETO'!O58</f>
        <v>0</v>
      </c>
    </row>
    <row r="36" spans="1:2" ht="15">
      <c r="A36" t="s">
        <v>99</v>
      </c>
      <c r="B36" s="1">
        <f>+'PRIVADO COMPLETO'!O59</f>
        <v>996000</v>
      </c>
    </row>
    <row r="37" spans="1:2" ht="15">
      <c r="A37" t="s">
        <v>100</v>
      </c>
      <c r="B37" s="1">
        <f>+'PRIVADO COMPLETO'!O60</f>
        <v>1080000</v>
      </c>
    </row>
    <row r="38" spans="1:2" ht="15">
      <c r="A38" t="s">
        <v>101</v>
      </c>
      <c r="B38" s="1">
        <f>+'PRIVADO COMPLETO'!O61</f>
        <v>132000</v>
      </c>
    </row>
    <row r="39" spans="1:2" ht="15">
      <c r="A39" t="s">
        <v>102</v>
      </c>
      <c r="B39" s="1">
        <f>+'PRIVADO COMPLETO'!O62</f>
        <v>1080000</v>
      </c>
    </row>
    <row r="40" spans="1:2" ht="15">
      <c r="A40" t="s">
        <v>103</v>
      </c>
      <c r="B40" s="1">
        <f>+'PRIVADO COMPLETO'!O63</f>
        <v>756000</v>
      </c>
    </row>
    <row r="41" spans="1:2" ht="15">
      <c r="A41" t="s">
        <v>133</v>
      </c>
      <c r="B41" s="1">
        <f>+'PRIVADO COMPLETO'!O64</f>
        <v>18600000</v>
      </c>
    </row>
    <row r="42" spans="1:2" ht="15">
      <c r="A42" t="s">
        <v>104</v>
      </c>
      <c r="B42" s="1">
        <f>+'PRIVADO COMPLETO'!O65</f>
        <v>18000000</v>
      </c>
    </row>
    <row r="43" spans="1:2" ht="15">
      <c r="A43" t="s">
        <v>658</v>
      </c>
      <c r="B43" s="1">
        <f>+'PRIVADO COMPLETO'!O66</f>
        <v>0</v>
      </c>
    </row>
    <row r="44" spans="1:2" ht="15">
      <c r="A44" t="s">
        <v>105</v>
      </c>
      <c r="B44" s="1">
        <v>0</v>
      </c>
    </row>
    <row r="45" spans="1:2" ht="15">
      <c r="A45" t="s">
        <v>106</v>
      </c>
      <c r="B45" s="1">
        <f>+'PRIVADO COMPLETO'!O69</f>
        <v>500000</v>
      </c>
    </row>
    <row r="46" spans="1:2" ht="15">
      <c r="A46" t="s">
        <v>107</v>
      </c>
      <c r="B46" s="1">
        <v>0</v>
      </c>
    </row>
    <row r="47" spans="1:2" ht="15">
      <c r="A47" t="s">
        <v>108</v>
      </c>
      <c r="B47" s="1">
        <f>+'PRIVADO COMPLETO'!O70</f>
        <v>0</v>
      </c>
    </row>
    <row r="48" spans="1:2" ht="15">
      <c r="A48" t="s">
        <v>109</v>
      </c>
      <c r="B48" s="1">
        <f>+'PRIVADO COMPLETO'!O71</f>
        <v>840000</v>
      </c>
    </row>
    <row r="49" spans="1:2" ht="15">
      <c r="A49" t="s">
        <v>110</v>
      </c>
      <c r="B49" s="1">
        <f>+'PRIVADO COMPLETO'!O72</f>
        <v>1020000</v>
      </c>
    </row>
    <row r="50" spans="1:2" ht="15">
      <c r="A50" t="s">
        <v>111</v>
      </c>
      <c r="B50" s="1">
        <f>+'PRIVADO COMPLETO'!O73</f>
        <v>1440000</v>
      </c>
    </row>
    <row r="51" spans="1:2" ht="15">
      <c r="A51" t="s">
        <v>112</v>
      </c>
      <c r="B51" s="1">
        <f>+'PRIVADO COMPLETO'!O74</f>
        <v>480000</v>
      </c>
    </row>
    <row r="52" spans="1:2" ht="15">
      <c r="A52" t="s">
        <v>113</v>
      </c>
      <c r="B52" s="1">
        <f>+'PRIVADO COMPLETO'!O75</f>
        <v>360000</v>
      </c>
    </row>
    <row r="53" spans="1:2" ht="15">
      <c r="A53" t="s">
        <v>114</v>
      </c>
      <c r="B53" s="1">
        <f>+'PRIVADO COMPLETO'!O76</f>
        <v>240000</v>
      </c>
    </row>
    <row r="54" spans="1:2" ht="15">
      <c r="A54" t="s">
        <v>115</v>
      </c>
      <c r="B54" s="1">
        <v>0</v>
      </c>
    </row>
    <row r="55" spans="1:2" ht="15">
      <c r="A55" t="s">
        <v>116</v>
      </c>
      <c r="B55" s="1">
        <v>0</v>
      </c>
    </row>
    <row r="57" spans="1:2" s="2" customFormat="1" ht="15">
      <c r="A57" s="2" t="s">
        <v>1</v>
      </c>
      <c r="B57" s="3">
        <f>+B58</f>
        <v>29600000</v>
      </c>
    </row>
    <row r="58" spans="1:2" s="2" customFormat="1" ht="15">
      <c r="A58" s="2" t="s">
        <v>280</v>
      </c>
      <c r="B58" s="3">
        <f>+'PRIVADO COMPLETO'!O78</f>
        <v>29600000</v>
      </c>
    </row>
    <row r="60" spans="1:2" s="2" customFormat="1" ht="15">
      <c r="A60" s="2" t="s">
        <v>5</v>
      </c>
      <c r="B60" s="3">
        <f>SUM(B61:B62)</f>
        <v>11927181.805999998</v>
      </c>
    </row>
    <row r="61" spans="1:2" ht="15">
      <c r="A61" t="s">
        <v>6</v>
      </c>
      <c r="B61" s="1">
        <f>+'PRIVADO COMPLETO'!O84</f>
        <v>4130000</v>
      </c>
    </row>
    <row r="62" spans="1:2" ht="15">
      <c r="A62" t="s">
        <v>275</v>
      </c>
      <c r="B62" s="1">
        <f>+'PRIVADO COMPLETO'!O86+'PRIVADO COMPLETO'!O87+'PRIVADO COMPLETO'!O88+'PRIVADO COMPLETO'!O85</f>
        <v>7797181.805999999</v>
      </c>
    </row>
    <row r="64" spans="1:2" s="2" customFormat="1" ht="15">
      <c r="A64" s="2" t="s">
        <v>7</v>
      </c>
      <c r="B64" s="3">
        <f>SUM(B65:B68)</f>
        <v>4308000</v>
      </c>
    </row>
    <row r="65" spans="1:2" s="2" customFormat="1" ht="15">
      <c r="A65" s="24" t="s">
        <v>8</v>
      </c>
      <c r="B65" s="25">
        <f>+'PRIVADO COMPLETO'!O90</f>
        <v>96000</v>
      </c>
    </row>
    <row r="66" spans="1:2" s="2" customFormat="1" ht="15">
      <c r="A66" t="s">
        <v>11</v>
      </c>
      <c r="B66" s="25">
        <f>+'PRIVADO COMPLETO'!O91</f>
        <v>0</v>
      </c>
    </row>
    <row r="67" spans="1:2" ht="15">
      <c r="A67" t="s">
        <v>12</v>
      </c>
      <c r="B67" s="1">
        <f>+'PRIVADO COMPLETO'!O92</f>
        <v>1836000</v>
      </c>
    </row>
    <row r="68" spans="1:2" ht="15">
      <c r="A68" t="s">
        <v>247</v>
      </c>
      <c r="B68" s="1">
        <f>+'PRIVADO COMPLETO'!O93</f>
        <v>2376000</v>
      </c>
    </row>
    <row r="70" spans="1:2" s="2" customFormat="1" ht="15">
      <c r="A70" s="2" t="s">
        <v>119</v>
      </c>
      <c r="B70" s="3">
        <f>+B71+B74</f>
        <v>13197179.713302812</v>
      </c>
    </row>
    <row r="71" spans="1:2" s="2" customFormat="1" ht="15">
      <c r="A71" s="2" t="s">
        <v>120</v>
      </c>
      <c r="B71" s="3">
        <f>SUM(B72:B73)</f>
        <v>10173179.713302812</v>
      </c>
    </row>
    <row r="72" spans="1:2" ht="15">
      <c r="A72" t="s">
        <v>122</v>
      </c>
      <c r="B72" s="1">
        <f>+'PRIVADO COMPLETO'!O96</f>
        <v>3966179.7133028116</v>
      </c>
    </row>
    <row r="73" spans="1:2" ht="15">
      <c r="A73" t="s">
        <v>281</v>
      </c>
      <c r="B73" s="1">
        <f>+'PRIVADO COMPLETO'!O97</f>
        <v>6207000</v>
      </c>
    </row>
    <row r="74" spans="1:3" s="2" customFormat="1" ht="15">
      <c r="A74" s="2" t="s">
        <v>121</v>
      </c>
      <c r="B74" s="3">
        <f>SUM(B75:B77)</f>
        <v>3024000</v>
      </c>
      <c r="C74" s="4"/>
    </row>
    <row r="75" spans="1:2" ht="15">
      <c r="A75" t="s">
        <v>135</v>
      </c>
      <c r="B75" s="1">
        <f>+'PRIVADO COMPLETO'!O99</f>
        <v>1992000</v>
      </c>
    </row>
    <row r="76" spans="1:2" ht="15">
      <c r="A76" t="s">
        <v>136</v>
      </c>
      <c r="B76" s="1">
        <f>+'PRIVADO COMPLETO'!O101</f>
        <v>1032000</v>
      </c>
    </row>
    <row r="77" spans="1:2" ht="15">
      <c r="A77" t="s">
        <v>322</v>
      </c>
      <c r="B77" s="1">
        <f>+'PRIVADO COMPLETO'!O100</f>
        <v>0</v>
      </c>
    </row>
    <row r="79" spans="1:2" s="2" customFormat="1" ht="15">
      <c r="A79" s="2" t="s">
        <v>13</v>
      </c>
      <c r="B79" s="3">
        <f>+'PRIVADO COMPLETO'!O102</f>
        <v>3036000</v>
      </c>
    </row>
    <row r="81" spans="1:2" s="2" customFormat="1" ht="15">
      <c r="A81" s="2" t="s">
        <v>22</v>
      </c>
      <c r="B81" s="3">
        <f>SUM(B82:B89)</f>
        <v>56803340</v>
      </c>
    </row>
    <row r="82" spans="1:2" ht="15">
      <c r="A82" t="s">
        <v>23</v>
      </c>
      <c r="B82" s="1">
        <f>+'PRIVADO COMPLETO'!O112</f>
        <v>18327040</v>
      </c>
    </row>
    <row r="83" spans="1:2" ht="15">
      <c r="A83" s="24" t="s">
        <v>24</v>
      </c>
      <c r="B83" s="1">
        <f>+'PRIVADO COMPLETO'!O122</f>
        <v>0</v>
      </c>
    </row>
    <row r="84" spans="1:2" ht="15">
      <c r="A84" t="s">
        <v>25</v>
      </c>
      <c r="B84" s="1">
        <f>+'PRIVADO COMPLETO'!O123</f>
        <v>588000</v>
      </c>
    </row>
    <row r="85" spans="1:2" ht="15">
      <c r="A85" t="s">
        <v>26</v>
      </c>
      <c r="B85" s="1">
        <f>+'PRIVADO COMPLETO'!O126</f>
        <v>8436000</v>
      </c>
    </row>
    <row r="86" spans="1:2" ht="15">
      <c r="A86" t="s">
        <v>27</v>
      </c>
      <c r="B86" s="1">
        <f>+'PRIVADO COMPLETO'!O128</f>
        <v>0</v>
      </c>
    </row>
    <row r="87" spans="1:2" ht="15">
      <c r="A87" t="s">
        <v>28</v>
      </c>
      <c r="B87" s="1">
        <f>+'PRIVADO COMPLETO'!O131</f>
        <v>3516000</v>
      </c>
    </row>
    <row r="88" spans="1:2" ht="15">
      <c r="A88" t="s">
        <v>321</v>
      </c>
      <c r="B88" s="1">
        <f>+'PRIVADO COMPLETO'!O141</f>
        <v>21521300</v>
      </c>
    </row>
    <row r="89" spans="1:2" ht="15">
      <c r="A89" t="s">
        <v>232</v>
      </c>
      <c r="B89" s="1">
        <f>+'PRIVADO COMPLETO'!O147</f>
        <v>4415000</v>
      </c>
    </row>
    <row r="91" spans="1:2" s="2" customFormat="1" ht="15">
      <c r="A91" s="2" t="s">
        <v>53</v>
      </c>
      <c r="B91" s="3">
        <f>SUM(B92:B93)</f>
        <v>7255000</v>
      </c>
    </row>
    <row r="92" spans="1:2" ht="15">
      <c r="A92" t="s">
        <v>54</v>
      </c>
      <c r="B92" s="1">
        <f>+'PRIVADO COMPLETO'!O161</f>
        <v>2061000</v>
      </c>
    </row>
    <row r="93" spans="1:2" ht="15">
      <c r="A93" t="s">
        <v>57</v>
      </c>
      <c r="B93" s="1">
        <f>+'PRIVADO COMPLETO'!O167</f>
        <v>5194000</v>
      </c>
    </row>
    <row r="95" spans="1:2" s="2" customFormat="1" ht="15">
      <c r="A95" s="2" t="s">
        <v>61</v>
      </c>
      <c r="B95" s="3">
        <f>SUM(B96:B99)</f>
        <v>13915000</v>
      </c>
    </row>
    <row r="96" spans="1:2" s="2" customFormat="1" ht="15">
      <c r="A96" s="24" t="s">
        <v>63</v>
      </c>
      <c r="B96" s="25">
        <f>+'PRIVADO COMPLETO'!O173</f>
        <v>2992000</v>
      </c>
    </row>
    <row r="97" spans="1:2" ht="15">
      <c r="A97" t="s">
        <v>65</v>
      </c>
      <c r="B97" s="1">
        <f>+'PRIVADO COMPLETO'!O178</f>
        <v>3423000</v>
      </c>
    </row>
    <row r="98" spans="1:2" ht="15">
      <c r="A98" t="s">
        <v>282</v>
      </c>
      <c r="B98" s="1">
        <f>+'PRIVADO COMPLETO'!O180</f>
        <v>1500000</v>
      </c>
    </row>
    <row r="99" spans="1:2" ht="15">
      <c r="A99" t="s">
        <v>68</v>
      </c>
      <c r="B99" s="1">
        <f>+'PRIVADO COMPLETO'!O183</f>
        <v>6000000</v>
      </c>
    </row>
    <row r="101" spans="1:2" s="2" customFormat="1" ht="15">
      <c r="A101" s="2" t="s">
        <v>62</v>
      </c>
      <c r="B101" s="3">
        <f>SUM(B102:B104)</f>
        <v>109224000</v>
      </c>
    </row>
    <row r="102" spans="1:2" ht="15">
      <c r="A102" t="s">
        <v>54</v>
      </c>
      <c r="B102" s="1">
        <f>+'PRIVADO COMPLETO'!O185</f>
        <v>66024000</v>
      </c>
    </row>
    <row r="103" spans="1:2" ht="15">
      <c r="A103" t="s">
        <v>57</v>
      </c>
      <c r="B103" s="1">
        <f>+'PRIVADO COMPLETO'!O186</f>
        <v>25200000</v>
      </c>
    </row>
    <row r="104" spans="1:4" ht="15">
      <c r="A104" t="s">
        <v>70</v>
      </c>
      <c r="B104" s="1">
        <f>+'PRIVADO COMPLETO'!O187</f>
        <v>18000000</v>
      </c>
      <c r="D104" s="82"/>
    </row>
    <row r="105" ht="15">
      <c r="D105" s="83"/>
    </row>
    <row r="106" spans="1:4" ht="15">
      <c r="A106" s="2" t="s">
        <v>71</v>
      </c>
      <c r="B106" s="3">
        <f>SUM(B107)</f>
        <v>0</v>
      </c>
      <c r="D106" s="83"/>
    </row>
    <row r="107" spans="1:4" ht="15">
      <c r="A107" t="s">
        <v>72</v>
      </c>
      <c r="B107" s="1">
        <f>+'PRIVADO COMPLETO'!O189</f>
        <v>0</v>
      </c>
      <c r="D107" s="83"/>
    </row>
    <row r="108" ht="15">
      <c r="D108" s="83"/>
    </row>
    <row r="109" spans="1:4" s="2" customFormat="1" ht="15">
      <c r="A109" s="2" t="s">
        <v>75</v>
      </c>
      <c r="B109" s="3">
        <f>SUM(B110:B117)</f>
        <v>43684000</v>
      </c>
      <c r="D109" s="53"/>
    </row>
    <row r="110" spans="1:4" s="2" customFormat="1" ht="15">
      <c r="A110" s="24" t="s">
        <v>456</v>
      </c>
      <c r="B110" s="1">
        <f>+'PRIVADO COMPLETO'!O193</f>
        <v>0</v>
      </c>
      <c r="D110" s="53"/>
    </row>
    <row r="111" spans="1:2" ht="15">
      <c r="A111" t="s">
        <v>77</v>
      </c>
      <c r="B111" s="1">
        <f>+'PRIVADO COMPLETO'!O194</f>
        <v>1158000</v>
      </c>
    </row>
    <row r="112" spans="1:2" ht="15">
      <c r="A112" t="s">
        <v>80</v>
      </c>
      <c r="B112" s="1">
        <f>+'PRIVADO COMPLETO'!O197</f>
        <v>663000</v>
      </c>
    </row>
    <row r="113" spans="1:2" ht="15">
      <c r="A113" t="s">
        <v>83</v>
      </c>
      <c r="B113" s="1">
        <f>+'PRIVADO COMPLETO'!O200</f>
        <v>10000</v>
      </c>
    </row>
    <row r="114" spans="1:2" ht="15">
      <c r="A114" t="s">
        <v>283</v>
      </c>
      <c r="B114" s="1">
        <f>+'PRIVADO COMPLETO'!O202</f>
        <v>252000</v>
      </c>
    </row>
    <row r="115" spans="1:2" ht="15">
      <c r="A115" t="s">
        <v>85</v>
      </c>
      <c r="B115" s="1">
        <f>+'PRIVADO COMPLETO'!O203</f>
        <v>23170000</v>
      </c>
    </row>
    <row r="116" spans="1:2" ht="15">
      <c r="A116" t="s">
        <v>86</v>
      </c>
      <c r="B116" s="1">
        <f>+'PRIVADO COMPLETO'!O213</f>
        <v>0</v>
      </c>
    </row>
    <row r="117" spans="1:2" ht="15">
      <c r="A117" t="s">
        <v>3</v>
      </c>
      <c r="B117" s="1">
        <f>+'PRIVADO COMPLETO'!O214</f>
        <v>18431000</v>
      </c>
    </row>
    <row r="119" spans="1:2" s="2" customFormat="1" ht="15">
      <c r="A119" s="2" t="s">
        <v>91</v>
      </c>
      <c r="B119" s="3">
        <f>+B120</f>
        <v>25500380.27</v>
      </c>
    </row>
    <row r="120" spans="1:2" s="2" customFormat="1" ht="15">
      <c r="A120" s="2" t="s">
        <v>92</v>
      </c>
      <c r="B120" s="3">
        <f>SUM(B121:B124)</f>
        <v>25500380.27</v>
      </c>
    </row>
    <row r="121" spans="1:2" ht="15">
      <c r="A121" t="s">
        <v>93</v>
      </c>
      <c r="B121" s="1">
        <f>+'PRIVADO COMPLETO'!O231</f>
        <v>2987047.3100000005</v>
      </c>
    </row>
    <row r="122" spans="1:2" ht="15">
      <c r="A122" t="s">
        <v>94</v>
      </c>
      <c r="B122" s="1">
        <f>+'PRIVADO COMPLETO'!O232</f>
        <v>500000</v>
      </c>
    </row>
    <row r="123" spans="1:2" ht="15">
      <c r="A123" t="s">
        <v>95</v>
      </c>
      <c r="B123" s="1">
        <f>+'PRIVADO COMPLETO'!O233</f>
        <v>1565332.9600000002</v>
      </c>
    </row>
    <row r="124" spans="1:2" ht="15">
      <c r="A124" t="s">
        <v>127</v>
      </c>
      <c r="B124" s="1">
        <f>+'PRIVADO COMPLETO'!O234</f>
        <v>20448000</v>
      </c>
    </row>
    <row r="125" ht="15">
      <c r="A125" t="s">
        <v>96</v>
      </c>
    </row>
    <row r="126" spans="1:2" s="2" customFormat="1" ht="15">
      <c r="A126" s="2" t="s">
        <v>169</v>
      </c>
      <c r="B126" s="3">
        <f>+B6-B31</f>
        <v>20643889.540978372</v>
      </c>
    </row>
  </sheetData>
  <printOptions/>
  <pageMargins left="0.7" right="0.7" top="0.75" bottom="0.75" header="0.3" footer="0.3"/>
  <pageSetup horizontalDpi="600" verticalDpi="600" orientation="portrait" r:id="rId1"/>
  <ignoredErrors>
    <ignoredError sqref="B12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D40"/>
  <sheetViews>
    <sheetView workbookViewId="0" topLeftCell="A1">
      <selection activeCell="B5" sqref="B5"/>
    </sheetView>
  </sheetViews>
  <sheetFormatPr defaultColWidth="25.28125" defaultRowHeight="15"/>
  <cols>
    <col min="1" max="1" width="33.421875" style="85" customWidth="1"/>
    <col min="2" max="2" width="18.8515625" style="103" bestFit="1" customWidth="1"/>
    <col min="3" max="16384" width="25.28125" style="85" customWidth="1"/>
  </cols>
  <sheetData>
    <row r="1" spans="1:2" s="101" customFormat="1" ht="15">
      <c r="A1" s="101" t="s">
        <v>0</v>
      </c>
      <c r="B1" s="102"/>
    </row>
    <row r="2" spans="1:2" s="101" customFormat="1" ht="15">
      <c r="A2" s="101" t="s">
        <v>675</v>
      </c>
      <c r="B2" s="102"/>
    </row>
    <row r="3" s="101" customFormat="1" ht="13" thickBot="1">
      <c r="B3" s="102"/>
    </row>
    <row r="4" ht="13" thickBot="1">
      <c r="B4" s="129" t="s">
        <v>677</v>
      </c>
    </row>
    <row r="5" spans="1:2" s="101" customFormat="1" ht="15">
      <c r="A5" s="106" t="s">
        <v>183</v>
      </c>
      <c r="B5" s="107">
        <f>+B6+B16</f>
        <v>2483883045.4707365</v>
      </c>
    </row>
    <row r="6" spans="1:2" s="101" customFormat="1" ht="15">
      <c r="A6" s="108" t="s">
        <v>184</v>
      </c>
      <c r="B6" s="110">
        <f>SUM(B7:B14)</f>
        <v>2431387261.8907366</v>
      </c>
    </row>
    <row r="7" spans="1:2" ht="15">
      <c r="A7" s="111" t="s">
        <v>185</v>
      </c>
      <c r="B7" s="124">
        <f>+'PUBLICO COMPLETO'!O9</f>
        <v>258044512.73141426</v>
      </c>
    </row>
    <row r="8" spans="1:2" ht="15">
      <c r="A8" s="111" t="s">
        <v>188</v>
      </c>
      <c r="B8" s="124">
        <f>+'PUBLICO COMPLETO'!O13</f>
        <v>1702528130.2381034</v>
      </c>
    </row>
    <row r="9" spans="1:2" ht="15">
      <c r="A9" s="111" t="s">
        <v>192</v>
      </c>
      <c r="B9" s="124">
        <f>+'PUBLICO COMPLETO'!O18</f>
        <v>55867790.616619125</v>
      </c>
    </row>
    <row r="10" spans="1:2" ht="15">
      <c r="A10" s="111" t="s">
        <v>203</v>
      </c>
      <c r="B10" s="124">
        <f>+'PUBLICO COMPLETO'!O30</f>
        <v>57882060</v>
      </c>
    </row>
    <row r="11" spans="1:2" ht="15">
      <c r="A11" s="111" t="s">
        <v>205</v>
      </c>
      <c r="B11" s="124">
        <f>+'PUBLICO COMPLETO'!O32</f>
        <v>100988688.33781116</v>
      </c>
    </row>
    <row r="12" spans="1:2" ht="15">
      <c r="A12" s="111" t="s">
        <v>210</v>
      </c>
      <c r="B12" s="124">
        <f>+'PUBLICO COMPLETO'!O37</f>
        <v>39100</v>
      </c>
    </row>
    <row r="13" spans="1:2" ht="15">
      <c r="A13" s="111" t="s">
        <v>349</v>
      </c>
      <c r="B13" s="124">
        <f>+'PUBLICO COMPLETO'!O39</f>
        <v>70609320</v>
      </c>
    </row>
    <row r="14" spans="1:2" ht="13" thickBot="1">
      <c r="A14" s="112" t="s">
        <v>350</v>
      </c>
      <c r="B14" s="125">
        <f>+'PUBLICO COMPLETO'!O44</f>
        <v>185427659.9667886</v>
      </c>
    </row>
    <row r="15" s="116" customFormat="1" ht="10.5" customHeight="1" thickBot="1">
      <c r="B15" s="117"/>
    </row>
    <row r="16" spans="1:2" s="101" customFormat="1" ht="15">
      <c r="A16" s="106" t="s">
        <v>221</v>
      </c>
      <c r="B16" s="107">
        <f>SUM(B17:B18)</f>
        <v>52495783.58</v>
      </c>
    </row>
    <row r="17" spans="1:2" ht="15">
      <c r="A17" s="111" t="s">
        <v>351</v>
      </c>
      <c r="B17" s="124">
        <f>+'PUBLICO COMPLETO'!O52+'PUBLICO COMPLETO'!O55</f>
        <v>49285783.58</v>
      </c>
    </row>
    <row r="18" spans="1:2" ht="13" thickBot="1">
      <c r="A18" s="112" t="s">
        <v>352</v>
      </c>
      <c r="B18" s="125">
        <f>+'PUBLICO COMPLETO'!O53</f>
        <v>3210000</v>
      </c>
    </row>
    <row r="19" ht="9.75" customHeight="1" thickBot="1"/>
    <row r="20" spans="1:2" s="101" customFormat="1" ht="15">
      <c r="A20" s="106" t="s">
        <v>117</v>
      </c>
      <c r="B20" s="107">
        <f>+B21+B36</f>
        <v>2450845130.454707</v>
      </c>
    </row>
    <row r="21" spans="1:2" s="101" customFormat="1" ht="15">
      <c r="A21" s="108" t="s">
        <v>118</v>
      </c>
      <c r="B21" s="110">
        <f>SUM(B22:B34)</f>
        <v>2434465130.454707</v>
      </c>
    </row>
    <row r="22" spans="1:2" ht="15">
      <c r="A22" s="111" t="s">
        <v>132</v>
      </c>
      <c r="B22" s="124">
        <f>+'PUBLICO COMPLETO'!O62</f>
        <v>1357260000</v>
      </c>
    </row>
    <row r="23" spans="1:4" ht="15">
      <c r="A23" s="111" t="s">
        <v>1</v>
      </c>
      <c r="B23" s="124">
        <f>+'PUBLICO COMPLETO'!O81</f>
        <v>104853000</v>
      </c>
      <c r="D23" s="140">
        <f>+B21-B22</f>
        <v>1077205130.4547071</v>
      </c>
    </row>
    <row r="24" spans="1:2" ht="15">
      <c r="A24" s="111" t="s">
        <v>5</v>
      </c>
      <c r="B24" s="124">
        <f>+'PUBLICO COMPLETO'!O97</f>
        <v>64510000</v>
      </c>
    </row>
    <row r="25" spans="1:2" ht="15">
      <c r="A25" s="111" t="s">
        <v>7</v>
      </c>
      <c r="B25" s="124">
        <f>+'PUBLICO COMPLETO'!O104</f>
        <v>109088000</v>
      </c>
    </row>
    <row r="26" spans="1:2" ht="15">
      <c r="A26" s="111" t="s">
        <v>119</v>
      </c>
      <c r="B26" s="124">
        <f>+'PUBLICO COMPLETO'!O120</f>
        <v>112242830.45470737</v>
      </c>
    </row>
    <row r="27" spans="1:2" ht="15">
      <c r="A27" s="111" t="s">
        <v>13</v>
      </c>
      <c r="B27" s="124">
        <f>+'PUBLICO COMPLETO'!O140</f>
        <v>16380000</v>
      </c>
    </row>
    <row r="28" spans="1:2" ht="15">
      <c r="A28" s="111" t="s">
        <v>22</v>
      </c>
      <c r="B28" s="124">
        <f>+'PUBLICO COMPLETO'!O153</f>
        <v>257637400</v>
      </c>
    </row>
    <row r="29" spans="1:2" ht="15">
      <c r="A29" s="111" t="s">
        <v>51</v>
      </c>
      <c r="B29" s="124">
        <f>+'PUBLICO COMPLETO'!O228</f>
        <v>80000</v>
      </c>
    </row>
    <row r="30" spans="1:2" ht="15">
      <c r="A30" s="111" t="s">
        <v>53</v>
      </c>
      <c r="B30" s="124">
        <f>+'PUBLICO COMPLETO'!O230</f>
        <v>71189000</v>
      </c>
    </row>
    <row r="31" spans="1:2" ht="15">
      <c r="A31" s="111" t="s">
        <v>61</v>
      </c>
      <c r="B31" s="124">
        <f>+'PUBLICO COMPLETO'!O266</f>
        <v>85012900</v>
      </c>
    </row>
    <row r="32" spans="1:2" ht="15">
      <c r="A32" s="111" t="s">
        <v>62</v>
      </c>
      <c r="B32" s="124">
        <f>+'PUBLICO COMPLETO'!O318</f>
        <v>160236000</v>
      </c>
    </row>
    <row r="33" spans="1:2" ht="15">
      <c r="A33" s="111" t="s">
        <v>71</v>
      </c>
      <c r="B33" s="124">
        <f>+'PUBLICO COMPLETO'!O324</f>
        <v>10526000</v>
      </c>
    </row>
    <row r="34" spans="1:2" ht="13" thickBot="1">
      <c r="A34" s="112" t="s">
        <v>75</v>
      </c>
      <c r="B34" s="125">
        <f>+'PUBLICO COMPLETO'!O333</f>
        <v>85450000</v>
      </c>
    </row>
    <row r="35" spans="1:2" ht="9" customHeight="1" thickBot="1">
      <c r="A35" s="114"/>
      <c r="B35" s="115"/>
    </row>
    <row r="36" spans="1:2" ht="15">
      <c r="A36" s="106" t="s">
        <v>91</v>
      </c>
      <c r="B36" s="107">
        <f>SUM(B37:B38)</f>
        <v>16380000</v>
      </c>
    </row>
    <row r="37" spans="1:2" ht="15">
      <c r="A37" s="111" t="s">
        <v>92</v>
      </c>
      <c r="B37" s="124">
        <f>+'PUBLICO COMPLETO'!O378</f>
        <v>16380000</v>
      </c>
    </row>
    <row r="38" spans="1:2" ht="13" thickBot="1">
      <c r="A38" s="122" t="s">
        <v>304</v>
      </c>
      <c r="B38" s="125">
        <f>+'PUBLICO COMPLETO'!O383</f>
        <v>0</v>
      </c>
    </row>
    <row r="39" ht="7.5" customHeight="1" thickBot="1">
      <c r="A39" s="85" t="s">
        <v>96</v>
      </c>
    </row>
    <row r="40" spans="1:2" ht="13" thickBot="1">
      <c r="A40" s="130" t="s">
        <v>182</v>
      </c>
      <c r="B40" s="131">
        <f>+B5-B20</f>
        <v>33037915.016029358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C37"/>
  <sheetViews>
    <sheetView workbookViewId="0" topLeftCell="A1">
      <selection activeCell="D23" sqref="D23"/>
    </sheetView>
  </sheetViews>
  <sheetFormatPr defaultColWidth="24.421875" defaultRowHeight="15"/>
  <cols>
    <col min="1" max="1" width="32.57421875" style="85" customWidth="1"/>
    <col min="2" max="2" width="18.8515625" style="103" bestFit="1" customWidth="1"/>
    <col min="3" max="3" width="24.421875" style="103" customWidth="1"/>
    <col min="4" max="16384" width="24.421875" style="85" customWidth="1"/>
  </cols>
  <sheetData>
    <row r="1" spans="1:3" s="101" customFormat="1" ht="15">
      <c r="A1" s="101" t="s">
        <v>0</v>
      </c>
      <c r="B1" s="102"/>
      <c r="C1" s="102"/>
    </row>
    <row r="2" spans="1:3" s="101" customFormat="1" ht="15">
      <c r="A2" s="101" t="s">
        <v>656</v>
      </c>
      <c r="B2" s="102"/>
      <c r="C2" s="102"/>
    </row>
    <row r="3" ht="13" thickBot="1"/>
    <row r="4" spans="2:3" s="104" customFormat="1" ht="13" thickBot="1">
      <c r="B4" s="123" t="s">
        <v>677</v>
      </c>
      <c r="C4" s="105"/>
    </row>
    <row r="5" spans="1:3" s="101" customFormat="1" ht="15">
      <c r="A5" s="106" t="s">
        <v>142</v>
      </c>
      <c r="B5" s="107">
        <f>+B6+B12</f>
        <v>396617971.33028114</v>
      </c>
      <c r="C5" s="102"/>
    </row>
    <row r="6" spans="1:3" s="101" customFormat="1" ht="15">
      <c r="A6" s="108" t="s">
        <v>143</v>
      </c>
      <c r="B6" s="110">
        <f>SUM(B7:B10)</f>
        <v>205068254.8</v>
      </c>
      <c r="C6" s="102"/>
    </row>
    <row r="7" spans="1:3" ht="15">
      <c r="A7" s="111" t="s">
        <v>144</v>
      </c>
      <c r="B7" s="124">
        <f>+'PRIVADO COMPLETO'!O9</f>
        <v>73284750</v>
      </c>
      <c r="C7" s="102"/>
    </row>
    <row r="8" spans="1:3" ht="15">
      <c r="A8" s="111" t="s">
        <v>145</v>
      </c>
      <c r="B8" s="124">
        <f>+'PRIVADO COMPLETO'!O10</f>
        <v>55000000</v>
      </c>
      <c r="C8" s="102"/>
    </row>
    <row r="9" spans="1:3" ht="15">
      <c r="A9" s="111" t="s">
        <v>730</v>
      </c>
      <c r="B9" s="124">
        <f>+'PRIVADO COMPLETO'!O11</f>
        <v>7512000</v>
      </c>
      <c r="C9" s="102"/>
    </row>
    <row r="10" spans="1:3" ht="15">
      <c r="A10" s="111" t="s">
        <v>152</v>
      </c>
      <c r="B10" s="124">
        <f>+'PRIVADO COMPLETO'!O17</f>
        <v>69271504.8</v>
      </c>
      <c r="C10" s="102"/>
    </row>
    <row r="11" spans="1:3" ht="8.25" customHeight="1">
      <c r="A11" s="111"/>
      <c r="B11" s="124"/>
      <c r="C11" s="102"/>
    </row>
    <row r="12" spans="1:3" s="101" customFormat="1" ht="15">
      <c r="A12" s="108" t="s">
        <v>157</v>
      </c>
      <c r="B12" s="110">
        <f>SUM(B13:B16)</f>
        <v>191549716.5302811</v>
      </c>
      <c r="C12" s="102"/>
    </row>
    <row r="13" spans="1:3" ht="15">
      <c r="A13" s="111" t="s">
        <v>92</v>
      </c>
      <c r="B13" s="124">
        <f>+'PRIVADO COMPLETO'!O28</f>
        <v>730977.5</v>
      </c>
      <c r="C13" s="102"/>
    </row>
    <row r="14" spans="1:3" ht="15">
      <c r="A14" s="111" t="s">
        <v>7</v>
      </c>
      <c r="B14" s="124">
        <f>+'PRIVADO COMPLETO'!O31</f>
        <v>165271325.34006992</v>
      </c>
      <c r="C14" s="102"/>
    </row>
    <row r="15" spans="1:3" ht="15">
      <c r="A15" s="111" t="s">
        <v>22</v>
      </c>
      <c r="B15" s="124">
        <f>+'PRIVADO COMPLETO'!O41</f>
        <v>19999999.69021117</v>
      </c>
      <c r="C15" s="102"/>
    </row>
    <row r="16" spans="1:3" ht="13" thickBot="1">
      <c r="A16" s="112" t="s">
        <v>323</v>
      </c>
      <c r="B16" s="125">
        <f>+'PRIVADO COMPLETO'!O46</f>
        <v>5547414</v>
      </c>
      <c r="C16" s="102"/>
    </row>
    <row r="17" ht="10.5" customHeight="1" thickBot="1">
      <c r="C17" s="102"/>
    </row>
    <row r="18" spans="1:3" s="101" customFormat="1" ht="15">
      <c r="A18" s="106" t="s">
        <v>117</v>
      </c>
      <c r="B18" s="107">
        <f>+B19+B33</f>
        <v>382813581.78930277</v>
      </c>
      <c r="C18" s="102"/>
    </row>
    <row r="19" spans="1:3" s="101" customFormat="1" ht="15">
      <c r="A19" s="108" t="s">
        <v>118</v>
      </c>
      <c r="B19" s="110">
        <f>SUM(B20:B31)</f>
        <v>357313201.5193028</v>
      </c>
      <c r="C19" s="102"/>
    </row>
    <row r="20" spans="1:3" ht="15">
      <c r="A20" s="111" t="s">
        <v>132</v>
      </c>
      <c r="B20" s="124">
        <f>+'PRIVADO COMPLETO'!O56</f>
        <v>64363500</v>
      </c>
      <c r="C20" s="102"/>
    </row>
    <row r="21" spans="1:3" ht="15">
      <c r="A21" s="111" t="s">
        <v>1</v>
      </c>
      <c r="B21" s="124">
        <f>+'PRIVADO COMPLETO'!O78</f>
        <v>29600000</v>
      </c>
      <c r="C21" s="102"/>
    </row>
    <row r="22" spans="1:3" ht="15">
      <c r="A22" s="111" t="s">
        <v>5</v>
      </c>
      <c r="B22" s="124">
        <f>+'PRIVADO COMPLETO'!O83</f>
        <v>11927181.805999998</v>
      </c>
      <c r="C22" s="102"/>
    </row>
    <row r="23" spans="1:3" ht="15">
      <c r="A23" s="111" t="s">
        <v>7</v>
      </c>
      <c r="B23" s="124">
        <f>+'PRIVADO COMPLETO'!O89</f>
        <v>4308000</v>
      </c>
      <c r="C23" s="102"/>
    </row>
    <row r="24" spans="1:3" ht="15">
      <c r="A24" s="111" t="s">
        <v>119</v>
      </c>
      <c r="B24" s="124">
        <f>+'PRIVADO COMPLETO'!O94</f>
        <v>13197179.713302812</v>
      </c>
      <c r="C24" s="102"/>
    </row>
    <row r="25" spans="1:3" ht="15">
      <c r="A25" s="111" t="s">
        <v>13</v>
      </c>
      <c r="B25" s="124">
        <f>+'PRIVADO COMPLETO'!O102</f>
        <v>3036000</v>
      </c>
      <c r="C25" s="102"/>
    </row>
    <row r="26" spans="1:3" ht="15">
      <c r="A26" s="111" t="s">
        <v>22</v>
      </c>
      <c r="B26" s="124">
        <f>+'PRIVADO COMPLETO'!O111</f>
        <v>56803340</v>
      </c>
      <c r="C26" s="102"/>
    </row>
    <row r="27" spans="1:3" ht="15">
      <c r="A27" s="111" t="s">
        <v>53</v>
      </c>
      <c r="B27" s="124">
        <f>+'PRIVADO COMPLETO'!O160</f>
        <v>7255000</v>
      </c>
      <c r="C27" s="102"/>
    </row>
    <row r="28" spans="1:3" ht="15">
      <c r="A28" s="111" t="s">
        <v>61</v>
      </c>
      <c r="B28" s="124">
        <f>+'PRIVADO COMPLETO'!O172</f>
        <v>13915000</v>
      </c>
      <c r="C28" s="102"/>
    </row>
    <row r="29" spans="1:3" ht="15">
      <c r="A29" s="111" t="s">
        <v>62</v>
      </c>
      <c r="B29" s="124">
        <f>+'PRIVADO COMPLETO'!O184</f>
        <v>109224000</v>
      </c>
      <c r="C29" s="102"/>
    </row>
    <row r="30" spans="1:3" ht="15">
      <c r="A30" s="113" t="s">
        <v>71</v>
      </c>
      <c r="B30" s="126">
        <f>+'PRIVADO COMPLETO'!O188</f>
        <v>0</v>
      </c>
      <c r="C30" s="102"/>
    </row>
    <row r="31" spans="1:3" ht="13" thickBot="1">
      <c r="A31" s="112" t="s">
        <v>75</v>
      </c>
      <c r="B31" s="125">
        <f>+'PRIVADO COMPLETO'!O191</f>
        <v>43684000</v>
      </c>
      <c r="C31" s="102"/>
    </row>
    <row r="32" spans="1:3" ht="10.5" customHeight="1" thickBot="1">
      <c r="A32" s="114"/>
      <c r="B32" s="115"/>
      <c r="C32" s="102"/>
    </row>
    <row r="33" spans="1:3" s="101" customFormat="1" ht="15">
      <c r="A33" s="106" t="s">
        <v>91</v>
      </c>
      <c r="B33" s="107">
        <f>+B34</f>
        <v>25500380.27</v>
      </c>
      <c r="C33" s="102"/>
    </row>
    <row r="34" spans="1:3" ht="13" thickBot="1">
      <c r="A34" s="112" t="s">
        <v>92</v>
      </c>
      <c r="B34" s="125">
        <f>+'PRIVADO COMPLETO'!O230</f>
        <v>25500380.27</v>
      </c>
      <c r="C34" s="102"/>
    </row>
    <row r="35" spans="1:3" s="116" customFormat="1" ht="9.75" customHeight="1" thickBot="1">
      <c r="A35" s="116" t="s">
        <v>96</v>
      </c>
      <c r="B35" s="117"/>
      <c r="C35" s="102"/>
    </row>
    <row r="36" spans="1:3" s="101" customFormat="1" ht="13" thickBot="1">
      <c r="A36" s="127" t="s">
        <v>169</v>
      </c>
      <c r="B36" s="128">
        <f>+B5-B18</f>
        <v>13804389.540978372</v>
      </c>
      <c r="C36" s="102"/>
    </row>
    <row r="37" ht="15">
      <c r="C37" s="102"/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43"/>
  <sheetViews>
    <sheetView showGridLines="0" workbookViewId="0" topLeftCell="A1">
      <selection activeCell="A22" sqref="A22:E43"/>
    </sheetView>
  </sheetViews>
  <sheetFormatPr defaultColWidth="25.28125" defaultRowHeight="15"/>
  <cols>
    <col min="1" max="1" width="33.421875" style="85" customWidth="1"/>
    <col min="2" max="2" width="19.00390625" style="103" bestFit="1" customWidth="1"/>
    <col min="3" max="3" width="17.7109375" style="103" bestFit="1" customWidth="1"/>
    <col min="4" max="4" width="16.00390625" style="103" customWidth="1"/>
    <col min="5" max="5" width="13.28125" style="103" customWidth="1"/>
    <col min="6" max="16384" width="25.28125" style="85" customWidth="1"/>
  </cols>
  <sheetData>
    <row r="1" spans="1:5" s="101" customFormat="1" ht="15">
      <c r="A1" s="101" t="s">
        <v>0</v>
      </c>
      <c r="B1" s="102"/>
      <c r="C1" s="102"/>
      <c r="D1" s="102"/>
      <c r="E1" s="102"/>
    </row>
    <row r="2" spans="1:5" s="101" customFormat="1" ht="15">
      <c r="A2" s="101" t="s">
        <v>675</v>
      </c>
      <c r="B2" s="102"/>
      <c r="C2" s="102"/>
      <c r="D2" s="102"/>
      <c r="E2" s="102"/>
    </row>
    <row r="3" spans="2:5" s="101" customFormat="1" ht="15">
      <c r="B3" s="102"/>
      <c r="C3" s="102"/>
      <c r="D3" s="102"/>
      <c r="E3" s="102"/>
    </row>
    <row r="4" spans="2:5" ht="25">
      <c r="B4" s="329" t="s">
        <v>677</v>
      </c>
      <c r="C4" s="329" t="s">
        <v>678</v>
      </c>
      <c r="D4" s="329" t="s">
        <v>285</v>
      </c>
      <c r="E4" s="329" t="s">
        <v>342</v>
      </c>
    </row>
    <row r="5" spans="1:6" s="101" customFormat="1" ht="15">
      <c r="A5" s="322" t="s">
        <v>183</v>
      </c>
      <c r="B5" s="109">
        <f>+B6+B17</f>
        <v>2483883045.4707365</v>
      </c>
      <c r="C5" s="109">
        <f aca="true" t="shared" si="0" ref="C5:D5">+C6+C17</f>
        <v>2248372280.6141663</v>
      </c>
      <c r="D5" s="109">
        <f t="shared" si="0"/>
        <v>235510764.85657012</v>
      </c>
      <c r="E5" s="323">
        <f>+(B5-C5)/C5</f>
        <v>0.10474722842261604</v>
      </c>
      <c r="F5" s="118"/>
    </row>
    <row r="6" spans="1:7" s="101" customFormat="1" ht="15">
      <c r="A6" s="322" t="s">
        <v>184</v>
      </c>
      <c r="B6" s="109">
        <f>SUM(B7:B15)</f>
        <v>2431387261.8907366</v>
      </c>
      <c r="C6" s="109">
        <f aca="true" t="shared" si="1" ref="C6:D6">SUM(C7:C15)</f>
        <v>2211058668.6141663</v>
      </c>
      <c r="D6" s="109">
        <f t="shared" si="1"/>
        <v>220328593.2765701</v>
      </c>
      <c r="E6" s="323">
        <f>+(B6-C6)/C6</f>
        <v>0.09964846089528077</v>
      </c>
      <c r="F6" s="119"/>
      <c r="G6" s="120"/>
    </row>
    <row r="7" spans="1:6" ht="15">
      <c r="A7" s="87" t="s">
        <v>185</v>
      </c>
      <c r="B7" s="88">
        <f>+'PUBLICO COMPLETO'!O9</f>
        <v>258044512.73141426</v>
      </c>
      <c r="C7" s="88">
        <f>+'PUBLICO COMPLETO'!B9</f>
        <v>253092253.1553174</v>
      </c>
      <c r="D7" s="88">
        <f>+B7-C7</f>
        <v>4952259.576096863</v>
      </c>
      <c r="E7" s="325">
        <f>+(B7-C7)/C7</f>
        <v>0.01956701366539957</v>
      </c>
      <c r="F7" s="121"/>
    </row>
    <row r="8" spans="1:5" ht="15">
      <c r="A8" s="87" t="s">
        <v>188</v>
      </c>
      <c r="B8" s="88">
        <f>+'PUBLICO COMPLETO'!O13</f>
        <v>1702528130.2381034</v>
      </c>
      <c r="C8" s="88">
        <f>+'PUBLICO COMPLETO'!B13</f>
        <v>1533809126.3406339</v>
      </c>
      <c r="D8" s="88">
        <f aca="true" t="shared" si="2" ref="D8:D15">+B8-C8</f>
        <v>168719003.89746952</v>
      </c>
      <c r="E8" s="325">
        <f aca="true" t="shared" si="3" ref="E8:E15">+(B8-C8)/C8</f>
        <v>0.10999999999999986</v>
      </c>
    </row>
    <row r="9" spans="1:5" ht="15">
      <c r="A9" s="87" t="s">
        <v>192</v>
      </c>
      <c r="B9" s="88">
        <f>+'PUBLICO COMPLETO'!O18</f>
        <v>55867790.616619125</v>
      </c>
      <c r="C9" s="88">
        <f>+'PUBLICO COMPLETO'!B18</f>
        <v>50331342.89785506</v>
      </c>
      <c r="D9" s="88">
        <f t="shared" si="2"/>
        <v>5536447.718764067</v>
      </c>
      <c r="E9" s="325">
        <f t="shared" si="3"/>
        <v>0.11000000000000021</v>
      </c>
    </row>
    <row r="10" spans="1:5" ht="15">
      <c r="A10" s="87" t="s">
        <v>203</v>
      </c>
      <c r="B10" s="88">
        <f>+'PUBLICO COMPLETO'!O30</f>
        <v>57882060</v>
      </c>
      <c r="C10" s="88">
        <f>+'PUBLICO COMPLETO'!B30</f>
        <v>52146000</v>
      </c>
      <c r="D10" s="88">
        <f t="shared" si="2"/>
        <v>5736060</v>
      </c>
      <c r="E10" s="325">
        <f t="shared" si="3"/>
        <v>0.11</v>
      </c>
    </row>
    <row r="11" spans="1:5" ht="15">
      <c r="A11" s="87" t="s">
        <v>205</v>
      </c>
      <c r="B11" s="88">
        <f>+'PUBLICO COMPLETO'!O32</f>
        <v>100988688.33781116</v>
      </c>
      <c r="C11" s="88">
        <f>+'PUBLICO COMPLETO'!B32</f>
        <v>90980800.30433439</v>
      </c>
      <c r="D11" s="88">
        <f t="shared" si="2"/>
        <v>10007888.03347677</v>
      </c>
      <c r="E11" s="325">
        <f t="shared" si="3"/>
        <v>0.10999999999999986</v>
      </c>
    </row>
    <row r="12" spans="1:5" ht="15">
      <c r="A12" s="87" t="s">
        <v>210</v>
      </c>
      <c r="B12" s="88">
        <f>+'PUBLICO COMPLETO'!O37</f>
        <v>39100</v>
      </c>
      <c r="C12" s="88">
        <f>+'PUBLICO COMPLETO'!B37</f>
        <v>35200</v>
      </c>
      <c r="D12" s="88">
        <f t="shared" si="2"/>
        <v>3900</v>
      </c>
      <c r="E12" s="325">
        <f t="shared" si="3"/>
        <v>0.11079545454545454</v>
      </c>
    </row>
    <row r="13" spans="1:5" ht="15">
      <c r="A13" s="87" t="s">
        <v>400</v>
      </c>
      <c r="B13" s="88">
        <v>0</v>
      </c>
      <c r="C13" s="88">
        <f>+'PUBLICO COMPLETO'!B49</f>
        <v>0</v>
      </c>
      <c r="D13" s="88">
        <f aca="true" t="shared" si="4" ref="D13">+B13-C13</f>
        <v>0</v>
      </c>
      <c r="E13" s="325">
        <v>0</v>
      </c>
    </row>
    <row r="14" spans="1:5" ht="15">
      <c r="A14" s="87" t="s">
        <v>349</v>
      </c>
      <c r="B14" s="88">
        <f>+'PUBLICO COMPLETO'!O39</f>
        <v>70609320</v>
      </c>
      <c r="C14" s="88">
        <f>+'PUBLICO COMPLETO'!B39</f>
        <v>63612000</v>
      </c>
      <c r="D14" s="88">
        <f t="shared" si="2"/>
        <v>6997320</v>
      </c>
      <c r="E14" s="325">
        <f t="shared" si="3"/>
        <v>0.11</v>
      </c>
    </row>
    <row r="15" spans="1:5" ht="15">
      <c r="A15" s="87" t="s">
        <v>350</v>
      </c>
      <c r="B15" s="88">
        <f>+'PUBLICO COMPLETO'!O44</f>
        <v>185427659.9667886</v>
      </c>
      <c r="C15" s="88">
        <f>+'PUBLICO COMPLETO'!B44</f>
        <v>167051945.9160257</v>
      </c>
      <c r="D15" s="88">
        <f t="shared" si="2"/>
        <v>18375714.05076289</v>
      </c>
      <c r="E15" s="325">
        <f t="shared" si="3"/>
        <v>0.11000000000000039</v>
      </c>
    </row>
    <row r="16" spans="2:5" s="116" customFormat="1" ht="10.5" customHeight="1">
      <c r="B16" s="117"/>
      <c r="C16" s="117"/>
      <c r="D16" s="117"/>
      <c r="E16" s="117"/>
    </row>
    <row r="17" spans="1:5" s="101" customFormat="1" ht="15">
      <c r="A17" s="322" t="s">
        <v>221</v>
      </c>
      <c r="B17" s="109">
        <f>+SUM(B18:B20)</f>
        <v>52495783.58</v>
      </c>
      <c r="C17" s="109">
        <f>+SUM(C18:C20)</f>
        <v>37313612</v>
      </c>
      <c r="D17" s="109">
        <f>+SUM(D18:D20)</f>
        <v>15182171.579999998</v>
      </c>
      <c r="E17" s="323">
        <f>+(B17-C17)/C17</f>
        <v>0.40688024466781714</v>
      </c>
    </row>
    <row r="18" spans="1:5" ht="15">
      <c r="A18" s="87" t="s">
        <v>359</v>
      </c>
      <c r="B18" s="88">
        <f>+'PUBLICO COMPLETO'!O52</f>
        <v>24285783.58</v>
      </c>
      <c r="C18" s="88">
        <f>+'PUBLICO COMPLETO'!B52</f>
        <v>22696994</v>
      </c>
      <c r="D18" s="88">
        <f aca="true" t="shared" si="5" ref="D18:D19">+B18-C18</f>
        <v>1588789.5799999982</v>
      </c>
      <c r="E18" s="325">
        <f aca="true" t="shared" si="6" ref="E18:E19">+(B18-C18)/C18</f>
        <v>0.06999999999999992</v>
      </c>
    </row>
    <row r="19" spans="1:5" ht="15">
      <c r="A19" s="87" t="s">
        <v>352</v>
      </c>
      <c r="B19" s="88">
        <f>+'PUBLICO COMPLETO'!O53</f>
        <v>3210000</v>
      </c>
      <c r="C19" s="88">
        <f>+'PUBLICO COMPLETO'!B53</f>
        <v>3000000</v>
      </c>
      <c r="D19" s="88">
        <f t="shared" si="5"/>
        <v>210000</v>
      </c>
      <c r="E19" s="325">
        <f t="shared" si="6"/>
        <v>0.07</v>
      </c>
    </row>
    <row r="20" spans="1:5" ht="15">
      <c r="A20" s="87" t="s">
        <v>457</v>
      </c>
      <c r="B20" s="88">
        <f>+'PUBLICO COMPLETO'!O55</f>
        <v>25000000</v>
      </c>
      <c r="C20" s="88">
        <f>+'PUBLICO COMPLETO'!B55+'PUBLICO COMPLETO'!B54</f>
        <v>11616618</v>
      </c>
      <c r="D20" s="88">
        <f aca="true" t="shared" si="7" ref="D20">+B20-C20</f>
        <v>13383382</v>
      </c>
      <c r="E20" s="325">
        <f aca="true" t="shared" si="8" ref="E20">+(B20-C20)/C20</f>
        <v>1.1520893602595867</v>
      </c>
    </row>
    <row r="21" spans="1:5" ht="15">
      <c r="A21" s="116"/>
      <c r="B21" s="117"/>
      <c r="C21" s="117"/>
      <c r="D21" s="117"/>
      <c r="E21" s="134"/>
    </row>
    <row r="22" spans="2:5" ht="25">
      <c r="B22" s="329" t="s">
        <v>677</v>
      </c>
      <c r="C22" s="329" t="s">
        <v>678</v>
      </c>
      <c r="D22" s="329" t="s">
        <v>285</v>
      </c>
      <c r="E22" s="329" t="s">
        <v>342</v>
      </c>
    </row>
    <row r="23" spans="1:5" s="101" customFormat="1" ht="15">
      <c r="A23" s="322" t="s">
        <v>117</v>
      </c>
      <c r="B23" s="109">
        <f>+B24+B39</f>
        <v>2450845130.454707</v>
      </c>
      <c r="C23" s="109">
        <f aca="true" t="shared" si="9" ref="C23:D23">+C24+C39</f>
        <v>2027273802</v>
      </c>
      <c r="D23" s="109">
        <f t="shared" si="9"/>
        <v>423571328.4547074</v>
      </c>
      <c r="E23" s="323">
        <f>+(B23-C23)/C23</f>
        <v>0.20893641896661136</v>
      </c>
    </row>
    <row r="24" spans="1:5" s="101" customFormat="1" ht="15">
      <c r="A24" s="322" t="s">
        <v>118</v>
      </c>
      <c r="B24" s="109">
        <f>SUM(B25:B37)</f>
        <v>2434465130.454707</v>
      </c>
      <c r="C24" s="109">
        <f aca="true" t="shared" si="10" ref="C24:D24">SUM(C25:C37)</f>
        <v>2011901802</v>
      </c>
      <c r="D24" s="109">
        <f t="shared" si="10"/>
        <v>422563328.4547074</v>
      </c>
      <c r="E24" s="323">
        <f>+(B24-C24)/C24</f>
        <v>0.21003178586283067</v>
      </c>
    </row>
    <row r="25" spans="1:5" ht="15">
      <c r="A25" s="87" t="s">
        <v>132</v>
      </c>
      <c r="B25" s="88">
        <f>+'PUBLICO COMPLETO'!O62</f>
        <v>1357260000</v>
      </c>
      <c r="C25" s="88">
        <f>+'PUBLICO COMPLETO'!B62</f>
        <v>1164134513</v>
      </c>
      <c r="D25" s="88">
        <f aca="true" t="shared" si="11" ref="D25:D37">+B25-C25</f>
        <v>193125487</v>
      </c>
      <c r="E25" s="325">
        <f aca="true" t="shared" si="12" ref="E25:E37">+(B25-C25)/C25</f>
        <v>0.16589619570878575</v>
      </c>
    </row>
    <row r="26" spans="1:5" ht="15">
      <c r="A26" s="87" t="s">
        <v>1</v>
      </c>
      <c r="B26" s="88">
        <f>+'PUBLICO COMPLETO'!O81</f>
        <v>104853000</v>
      </c>
      <c r="C26" s="88">
        <f>+'PUBLICO COMPLETO'!B81</f>
        <v>39317780</v>
      </c>
      <c r="D26" s="88">
        <f t="shared" si="11"/>
        <v>65535220</v>
      </c>
      <c r="E26" s="325">
        <f t="shared" si="12"/>
        <v>1.6668087567507626</v>
      </c>
    </row>
    <row r="27" spans="1:5" ht="15">
      <c r="A27" s="87" t="s">
        <v>5</v>
      </c>
      <c r="B27" s="88">
        <f>+'PUBLICO COMPLETO'!O97</f>
        <v>64510000</v>
      </c>
      <c r="C27" s="88">
        <f>+'PUBLICO COMPLETO'!B97</f>
        <v>60289423</v>
      </c>
      <c r="D27" s="88">
        <f t="shared" si="11"/>
        <v>4220577</v>
      </c>
      <c r="E27" s="325">
        <f t="shared" si="12"/>
        <v>0.07000526443917036</v>
      </c>
    </row>
    <row r="28" spans="1:5" ht="15">
      <c r="A28" s="87" t="s">
        <v>7</v>
      </c>
      <c r="B28" s="88">
        <f>+'PUBLICO COMPLETO'!O104</f>
        <v>109088000</v>
      </c>
      <c r="C28" s="88">
        <f>+'PUBLICO COMPLETO'!B104</f>
        <v>86384660</v>
      </c>
      <c r="D28" s="88">
        <f t="shared" si="11"/>
        <v>22703340</v>
      </c>
      <c r="E28" s="325">
        <f t="shared" si="12"/>
        <v>0.26281680103851773</v>
      </c>
    </row>
    <row r="29" spans="1:5" ht="15">
      <c r="A29" s="87" t="s">
        <v>119</v>
      </c>
      <c r="B29" s="88">
        <f>+'PUBLICO COMPLETO'!O120</f>
        <v>112242830.45470737</v>
      </c>
      <c r="C29" s="88">
        <f>+'PUBLICO COMPLETO'!B120</f>
        <v>98515402</v>
      </c>
      <c r="D29" s="88">
        <f t="shared" si="11"/>
        <v>13727428.45470737</v>
      </c>
      <c r="E29" s="325">
        <f t="shared" si="12"/>
        <v>0.13934296745505204</v>
      </c>
    </row>
    <row r="30" spans="1:5" ht="15">
      <c r="A30" s="87" t="s">
        <v>13</v>
      </c>
      <c r="B30" s="88">
        <f>+'PUBLICO COMPLETO'!O140</f>
        <v>16380000</v>
      </c>
      <c r="C30" s="88">
        <f>+'PUBLICO COMPLETO'!B140</f>
        <v>15309048</v>
      </c>
      <c r="D30" s="88">
        <f t="shared" si="11"/>
        <v>1070952</v>
      </c>
      <c r="E30" s="325">
        <f t="shared" si="12"/>
        <v>0.06995549298689245</v>
      </c>
    </row>
    <row r="31" spans="1:5" ht="15">
      <c r="A31" s="87" t="s">
        <v>22</v>
      </c>
      <c r="B31" s="88">
        <f>+'PUBLICO COMPLETO'!O153</f>
        <v>257637400</v>
      </c>
      <c r="C31" s="88">
        <f>+'PUBLICO COMPLETO'!B153</f>
        <v>215914428</v>
      </c>
      <c r="D31" s="88">
        <f t="shared" si="11"/>
        <v>41722972</v>
      </c>
      <c r="E31" s="325">
        <f t="shared" si="12"/>
        <v>0.19323846204478748</v>
      </c>
    </row>
    <row r="32" spans="1:5" ht="15">
      <c r="A32" s="87" t="s">
        <v>51</v>
      </c>
      <c r="B32" s="88">
        <f>+'PUBLICO COMPLETO'!O228</f>
        <v>80000</v>
      </c>
      <c r="C32" s="88">
        <f>+'PUBLICO COMPLETO'!B228</f>
        <v>0</v>
      </c>
      <c r="D32" s="88">
        <f t="shared" si="11"/>
        <v>80000</v>
      </c>
      <c r="E32" s="325">
        <v>0</v>
      </c>
    </row>
    <row r="33" spans="1:5" ht="15">
      <c r="A33" s="87" t="s">
        <v>53</v>
      </c>
      <c r="B33" s="88">
        <f>+'PUBLICO COMPLETO'!O230</f>
        <v>71189000</v>
      </c>
      <c r="C33" s="88">
        <f>+'PUBLICO COMPLETO'!B230</f>
        <v>40946574</v>
      </c>
      <c r="D33" s="88">
        <f t="shared" si="11"/>
        <v>30242426</v>
      </c>
      <c r="E33" s="325">
        <f t="shared" si="12"/>
        <v>0.7385825734773317</v>
      </c>
    </row>
    <row r="34" spans="1:5" ht="15">
      <c r="A34" s="87" t="s">
        <v>61</v>
      </c>
      <c r="B34" s="88">
        <f>+'PUBLICO COMPLETO'!O266</f>
        <v>85012900</v>
      </c>
      <c r="C34" s="88">
        <f>+'PUBLICO COMPLETO'!B266</f>
        <v>74322913</v>
      </c>
      <c r="D34" s="88">
        <f t="shared" si="11"/>
        <v>10689987</v>
      </c>
      <c r="E34" s="325">
        <f t="shared" si="12"/>
        <v>0.14383164717992147</v>
      </c>
    </row>
    <row r="35" spans="1:5" ht="15">
      <c r="A35" s="87" t="s">
        <v>62</v>
      </c>
      <c r="B35" s="88">
        <f>+'PUBLICO COMPLETO'!O318</f>
        <v>160236000</v>
      </c>
      <c r="C35" s="88">
        <f>+'PUBLICO COMPLETO'!B318</f>
        <v>145945103</v>
      </c>
      <c r="D35" s="88">
        <f t="shared" si="11"/>
        <v>14290897</v>
      </c>
      <c r="E35" s="325">
        <f t="shared" si="12"/>
        <v>0.09791967463272817</v>
      </c>
    </row>
    <row r="36" spans="1:5" ht="15">
      <c r="A36" s="87" t="s">
        <v>71</v>
      </c>
      <c r="B36" s="88">
        <f>+'PUBLICO COMPLETO'!O324</f>
        <v>10526000</v>
      </c>
      <c r="C36" s="88">
        <f>+'PUBLICO COMPLETO'!B324</f>
        <v>9407030</v>
      </c>
      <c r="D36" s="88">
        <f t="shared" si="11"/>
        <v>1118970</v>
      </c>
      <c r="E36" s="325">
        <f t="shared" si="12"/>
        <v>0.11895040198659938</v>
      </c>
    </row>
    <row r="37" spans="1:5" ht="15">
      <c r="A37" s="87" t="s">
        <v>75</v>
      </c>
      <c r="B37" s="88">
        <f>+'PUBLICO COMPLETO'!O333</f>
        <v>85450000</v>
      </c>
      <c r="C37" s="88">
        <f>+'PUBLICO COMPLETO'!B333</f>
        <v>61414928</v>
      </c>
      <c r="D37" s="88">
        <f t="shared" si="11"/>
        <v>24035072</v>
      </c>
      <c r="E37" s="325">
        <f t="shared" si="12"/>
        <v>0.391355534927925</v>
      </c>
    </row>
    <row r="38" spans="1:2" ht="11.25" customHeight="1">
      <c r="A38" s="114"/>
      <c r="B38" s="115"/>
    </row>
    <row r="39" spans="1:5" ht="15">
      <c r="A39" s="322" t="s">
        <v>91</v>
      </c>
      <c r="B39" s="109">
        <f>+B40+B41</f>
        <v>16380000</v>
      </c>
      <c r="C39" s="109">
        <f>+C40+C41</f>
        <v>15372000</v>
      </c>
      <c r="D39" s="109">
        <f>+D40+D41</f>
        <v>1008000</v>
      </c>
      <c r="E39" s="323">
        <f>+(B39-C39)/C39</f>
        <v>0.06557377049180328</v>
      </c>
    </row>
    <row r="40" spans="1:5" ht="15">
      <c r="A40" s="87" t="s">
        <v>92</v>
      </c>
      <c r="B40" s="88">
        <f>+'PUBLICO COMPLETO'!O378</f>
        <v>16380000</v>
      </c>
      <c r="C40" s="88">
        <f>+'PUBLICO COMPLETO'!B378</f>
        <v>15302000</v>
      </c>
      <c r="D40" s="88">
        <f aca="true" t="shared" si="13" ref="D40:D41">+B40-C40</f>
        <v>1078000</v>
      </c>
      <c r="E40" s="325">
        <f aca="true" t="shared" si="14" ref="E40:E41">+(B40-C40)/C40</f>
        <v>0.07044830741079597</v>
      </c>
    </row>
    <row r="41" spans="1:5" ht="15">
      <c r="A41" s="330" t="s">
        <v>324</v>
      </c>
      <c r="B41" s="88">
        <f>+'PUBLICO COMPLETO'!O383</f>
        <v>0</v>
      </c>
      <c r="C41" s="88">
        <f>+'PUBLICO COMPLETO'!B383</f>
        <v>70000</v>
      </c>
      <c r="D41" s="88">
        <f t="shared" si="13"/>
        <v>-70000</v>
      </c>
      <c r="E41" s="325">
        <f t="shared" si="14"/>
        <v>-1</v>
      </c>
    </row>
    <row r="42" ht="15">
      <c r="A42" s="85" t="s">
        <v>96</v>
      </c>
    </row>
    <row r="43" spans="1:5" ht="15">
      <c r="A43" s="331" t="s">
        <v>182</v>
      </c>
      <c r="B43" s="332">
        <f>+B5-B23</f>
        <v>33037915.016029358</v>
      </c>
      <c r="C43" s="333">
        <f>+C5-C23</f>
        <v>221098478.61416626</v>
      </c>
      <c r="D43" s="332">
        <f>+D5-D23</f>
        <v>-188060563.59813726</v>
      </c>
      <c r="E43" s="326">
        <f>+(B43-C43)/C43</f>
        <v>-0.8505737568928141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E38"/>
  <sheetViews>
    <sheetView showGridLines="0" workbookViewId="0" topLeftCell="A28">
      <selection activeCell="A37" sqref="A37"/>
    </sheetView>
  </sheetViews>
  <sheetFormatPr defaultColWidth="24.421875" defaultRowHeight="15"/>
  <cols>
    <col min="1" max="1" width="32.57421875" style="85" customWidth="1"/>
    <col min="2" max="2" width="19.00390625" style="103" bestFit="1" customWidth="1"/>
    <col min="3" max="3" width="15.8515625" style="85" bestFit="1" customWidth="1"/>
    <col min="4" max="4" width="14.7109375" style="85" bestFit="1" customWidth="1"/>
    <col min="5" max="5" width="11.7109375" style="103" customWidth="1"/>
    <col min="6" max="16384" width="24.421875" style="85" customWidth="1"/>
  </cols>
  <sheetData>
    <row r="1" spans="1:5" s="101" customFormat="1" ht="15">
      <c r="A1" s="101" t="s">
        <v>0</v>
      </c>
      <c r="B1" s="102"/>
      <c r="E1" s="102"/>
    </row>
    <row r="2" spans="1:5" s="101" customFormat="1" ht="15">
      <c r="A2" s="101" t="s">
        <v>656</v>
      </c>
      <c r="B2" s="102"/>
      <c r="E2" s="102"/>
    </row>
    <row r="4" spans="2:5" s="104" customFormat="1" ht="33.75" customHeight="1">
      <c r="B4" s="327" t="s">
        <v>677</v>
      </c>
      <c r="C4" s="327" t="s">
        <v>678</v>
      </c>
      <c r="D4" s="327" t="s">
        <v>285</v>
      </c>
      <c r="E4" s="328" t="s">
        <v>342</v>
      </c>
    </row>
    <row r="5" spans="1:5" s="101" customFormat="1" ht="15">
      <c r="A5" s="322" t="s">
        <v>142</v>
      </c>
      <c r="B5" s="109">
        <f>+B6+B12</f>
        <v>396617971.33028114</v>
      </c>
      <c r="C5" s="109">
        <f>+C6+C12</f>
        <v>367038234.4820737</v>
      </c>
      <c r="D5" s="109">
        <f>+D6+D12</f>
        <v>29579736.84820736</v>
      </c>
      <c r="E5" s="323">
        <f>+(B5-C5)/C5</f>
        <v>0.0805903420114999</v>
      </c>
    </row>
    <row r="6" spans="1:5" s="101" customFormat="1" ht="15">
      <c r="A6" s="322" t="s">
        <v>143</v>
      </c>
      <c r="B6" s="109">
        <f>SUM(B7:B10)</f>
        <v>205068254.8</v>
      </c>
      <c r="C6" s="109">
        <f>SUM(C7:C10)</f>
        <v>168474213</v>
      </c>
      <c r="D6" s="109">
        <f>SUM(D7:D10)</f>
        <v>36594041.8</v>
      </c>
      <c r="E6" s="323">
        <f aca="true" t="shared" si="0" ref="E6:E16">+(B6-C6)/C6</f>
        <v>0.2172085635443806</v>
      </c>
    </row>
    <row r="7" spans="1:5" ht="15">
      <c r="A7" s="87" t="s">
        <v>144</v>
      </c>
      <c r="B7" s="88">
        <f>+'PRIVADO COMPLETO'!O9</f>
        <v>73284750</v>
      </c>
      <c r="C7" s="88">
        <f>+'PRIVADO COMPLETO'!B9</f>
        <v>66622500</v>
      </c>
      <c r="D7" s="324">
        <f>+B7-C7</f>
        <v>6662250</v>
      </c>
      <c r="E7" s="325">
        <f t="shared" si="0"/>
        <v>0.1</v>
      </c>
    </row>
    <row r="8" spans="1:5" ht="15">
      <c r="A8" s="87" t="s">
        <v>145</v>
      </c>
      <c r="B8" s="88">
        <f>+'PRIVADO COMPLETO'!O10</f>
        <v>55000000</v>
      </c>
      <c r="C8" s="88">
        <f>+'PRIVADO COMPLETO'!B10</f>
        <v>36078689</v>
      </c>
      <c r="D8" s="324">
        <f aca="true" t="shared" si="1" ref="D8:D10">+B8-C8</f>
        <v>18921311</v>
      </c>
      <c r="E8" s="325">
        <f t="shared" si="0"/>
        <v>0.5244456360373848</v>
      </c>
    </row>
    <row r="9" spans="1:5" ht="15">
      <c r="A9" s="87" t="s">
        <v>730</v>
      </c>
      <c r="B9" s="88">
        <f>+'PRIVADO COMPLETO'!O11</f>
        <v>7512000</v>
      </c>
      <c r="C9" s="88">
        <f>+'PRIVADO COMPLETO'!B11</f>
        <v>5310000</v>
      </c>
      <c r="D9" s="324">
        <f t="shared" si="1"/>
        <v>2202000</v>
      </c>
      <c r="E9" s="325">
        <f t="shared" si="0"/>
        <v>0.41468926553672314</v>
      </c>
    </row>
    <row r="10" spans="1:5" ht="15">
      <c r="A10" s="87" t="s">
        <v>152</v>
      </c>
      <c r="B10" s="88">
        <f>+'PRIVADO COMPLETO'!O17</f>
        <v>69271504.8</v>
      </c>
      <c r="C10" s="88">
        <f>+'PRIVADO COMPLETO'!B17</f>
        <v>60463024</v>
      </c>
      <c r="D10" s="324">
        <f t="shared" si="1"/>
        <v>8808480.799999997</v>
      </c>
      <c r="E10" s="325">
        <f t="shared" si="0"/>
        <v>0.1456837620295008</v>
      </c>
    </row>
    <row r="11" spans="1:5" ht="9" customHeight="1">
      <c r="A11" s="87"/>
      <c r="B11" s="88"/>
      <c r="C11" s="87"/>
      <c r="D11" s="87"/>
      <c r="E11" s="326"/>
    </row>
    <row r="12" spans="1:5" s="101" customFormat="1" ht="15">
      <c r="A12" s="322" t="s">
        <v>157</v>
      </c>
      <c r="B12" s="109">
        <f>SUM(B13:B16)</f>
        <v>191549716.5302811</v>
      </c>
      <c r="C12" s="109">
        <f aca="true" t="shared" si="2" ref="C12:D12">SUM(C13:C16)</f>
        <v>198564021.48207372</v>
      </c>
      <c r="D12" s="109">
        <f t="shared" si="2"/>
        <v>-7014304.951792639</v>
      </c>
      <c r="E12" s="323">
        <f t="shared" si="0"/>
        <v>-0.035325155581752136</v>
      </c>
    </row>
    <row r="13" spans="1:5" ht="15">
      <c r="A13" s="87" t="s">
        <v>92</v>
      </c>
      <c r="B13" s="88">
        <f>+'PRIVADO COMPLETO'!O28</f>
        <v>730977.5</v>
      </c>
      <c r="C13" s="88">
        <f>+'PRIVADO COMPLETO'!B28</f>
        <v>664525</v>
      </c>
      <c r="D13" s="324">
        <f aca="true" t="shared" si="3" ref="D13:D16">+B13-C13</f>
        <v>66452.5</v>
      </c>
      <c r="E13" s="325">
        <f t="shared" si="0"/>
        <v>0.1</v>
      </c>
    </row>
    <row r="14" spans="1:5" ht="15">
      <c r="A14" s="87" t="s">
        <v>7</v>
      </c>
      <c r="B14" s="88">
        <f>+'PRIVADO COMPLETO'!O31</f>
        <v>165271325.34006992</v>
      </c>
      <c r="C14" s="88">
        <f>+'PRIVADO COMPLETO'!B31</f>
        <v>175630806.40006357</v>
      </c>
      <c r="D14" s="324">
        <f t="shared" si="3"/>
        <v>-10359481.059993654</v>
      </c>
      <c r="E14" s="325">
        <f t="shared" si="0"/>
        <v>-0.05898441892019864</v>
      </c>
    </row>
    <row r="15" spans="1:5" ht="15">
      <c r="A15" s="87" t="s">
        <v>22</v>
      </c>
      <c r="B15" s="88">
        <f>+'PRIVADO COMPLETO'!O41</f>
        <v>19999999.69021117</v>
      </c>
      <c r="C15" s="88">
        <f>+'PRIVADO COMPLETO'!B41</f>
        <v>17071586.082010154</v>
      </c>
      <c r="D15" s="324">
        <f t="shared" si="3"/>
        <v>2928413.6082010157</v>
      </c>
      <c r="E15" s="325">
        <f t="shared" si="0"/>
        <v>0.17153728974760846</v>
      </c>
    </row>
    <row r="16" spans="1:5" ht="15">
      <c r="A16" s="87" t="s">
        <v>323</v>
      </c>
      <c r="B16" s="88">
        <f>+'PRIVADO COMPLETO'!O46</f>
        <v>5547414</v>
      </c>
      <c r="C16" s="88">
        <f>+'PRIVADO COMPLETO'!B46</f>
        <v>5197104</v>
      </c>
      <c r="D16" s="324">
        <f t="shared" si="3"/>
        <v>350310</v>
      </c>
      <c r="E16" s="325">
        <f t="shared" si="0"/>
        <v>0.06740484700710242</v>
      </c>
    </row>
    <row r="17" ht="15">
      <c r="E17" s="102"/>
    </row>
    <row r="18" spans="2:5" ht="37.5">
      <c r="B18" s="327" t="s">
        <v>677</v>
      </c>
      <c r="C18" s="327" t="s">
        <v>678</v>
      </c>
      <c r="D18" s="327" t="s">
        <v>285</v>
      </c>
      <c r="E18" s="328" t="s">
        <v>342</v>
      </c>
    </row>
    <row r="19" spans="1:5" s="101" customFormat="1" ht="15">
      <c r="A19" s="322" t="s">
        <v>117</v>
      </c>
      <c r="B19" s="109">
        <f>+B20+B34</f>
        <v>382813581.78930277</v>
      </c>
      <c r="C19" s="109">
        <f aca="true" t="shared" si="4" ref="C19:D19">+C20+C34</f>
        <v>364613324.8</v>
      </c>
      <c r="D19" s="109">
        <f t="shared" si="4"/>
        <v>18200256.98930281</v>
      </c>
      <c r="E19" s="323">
        <f aca="true" t="shared" si="5" ref="E19:E35">+(B19-C19)/C19</f>
        <v>0.049916598630305335</v>
      </c>
    </row>
    <row r="20" spans="1:5" s="101" customFormat="1" ht="15">
      <c r="A20" s="322" t="s">
        <v>118</v>
      </c>
      <c r="B20" s="109">
        <f>SUM(B21:B32)</f>
        <v>357313201.5193028</v>
      </c>
      <c r="C20" s="109">
        <f aca="true" t="shared" si="6" ref="C20:D20">SUM(C21:C32)</f>
        <v>326395122.8</v>
      </c>
      <c r="D20" s="109">
        <f t="shared" si="6"/>
        <v>30918078.71930281</v>
      </c>
      <c r="E20" s="323">
        <f t="shared" si="5"/>
        <v>0.09472592131300919</v>
      </c>
    </row>
    <row r="21" spans="1:5" ht="15">
      <c r="A21" s="87" t="s">
        <v>132</v>
      </c>
      <c r="B21" s="88">
        <f>+'PRIVADO COMPLETO'!O56</f>
        <v>64363500</v>
      </c>
      <c r="C21" s="88">
        <f>+'PRIVADO COMPLETO'!B56</f>
        <v>58742650</v>
      </c>
      <c r="D21" s="324">
        <f aca="true" t="shared" si="7" ref="D21:D32">+B21-C21</f>
        <v>5620850</v>
      </c>
      <c r="E21" s="325">
        <f t="shared" si="5"/>
        <v>0.09568601348424016</v>
      </c>
    </row>
    <row r="22" spans="1:5" ht="15">
      <c r="A22" s="87" t="s">
        <v>1</v>
      </c>
      <c r="B22" s="88">
        <f>+'PRIVADO COMPLETO'!O78</f>
        <v>29600000</v>
      </c>
      <c r="C22" s="88">
        <f>+'PRIVADO COMPLETO'!B78</f>
        <v>14228000</v>
      </c>
      <c r="D22" s="324">
        <f t="shared" si="7"/>
        <v>15372000</v>
      </c>
      <c r="E22" s="325">
        <f t="shared" si="5"/>
        <v>1.0804048355355638</v>
      </c>
    </row>
    <row r="23" spans="1:5" ht="15">
      <c r="A23" s="87" t="s">
        <v>5</v>
      </c>
      <c r="B23" s="88">
        <f>+'PRIVADO COMPLETO'!O83</f>
        <v>11927181.805999998</v>
      </c>
      <c r="C23" s="88">
        <f>+'PRIVADO COMPLETO'!B83</f>
        <v>11147143.8</v>
      </c>
      <c r="D23" s="324">
        <f t="shared" si="7"/>
        <v>780038.0059999973</v>
      </c>
      <c r="E23" s="325">
        <f t="shared" si="5"/>
        <v>0.06997649083884584</v>
      </c>
    </row>
    <row r="24" spans="1:5" ht="15">
      <c r="A24" s="87" t="s">
        <v>7</v>
      </c>
      <c r="B24" s="88">
        <f>+'PRIVADO COMPLETO'!O89</f>
        <v>4308000</v>
      </c>
      <c r="C24" s="88">
        <f>+'PRIVADO COMPLETO'!B89</f>
        <v>4019818</v>
      </c>
      <c r="D24" s="324">
        <f t="shared" si="7"/>
        <v>288182</v>
      </c>
      <c r="E24" s="325">
        <f t="shared" si="5"/>
        <v>0.07169031035733459</v>
      </c>
    </row>
    <row r="25" spans="1:5" ht="15">
      <c r="A25" s="87" t="s">
        <v>119</v>
      </c>
      <c r="B25" s="88">
        <f>+'PRIVADO COMPLETO'!O94</f>
        <v>13197179.713302812</v>
      </c>
      <c r="C25" s="88">
        <f>+'PRIVADO COMPLETO'!B94</f>
        <v>12266493</v>
      </c>
      <c r="D25" s="324">
        <f t="shared" si="7"/>
        <v>930686.7133028116</v>
      </c>
      <c r="E25" s="325">
        <f t="shared" si="5"/>
        <v>0.07587227362399437</v>
      </c>
    </row>
    <row r="26" spans="1:5" ht="15">
      <c r="A26" s="87" t="s">
        <v>13</v>
      </c>
      <c r="B26" s="88">
        <f>+'PRIVADO COMPLETO'!O102</f>
        <v>3036000</v>
      </c>
      <c r="C26" s="88">
        <f>+'PRIVADO COMPLETO'!B102</f>
        <v>2841358</v>
      </c>
      <c r="D26" s="324">
        <f t="shared" si="7"/>
        <v>194642</v>
      </c>
      <c r="E26" s="325">
        <f t="shared" si="5"/>
        <v>0.0685031594047635</v>
      </c>
    </row>
    <row r="27" spans="1:5" ht="15">
      <c r="A27" s="87" t="s">
        <v>22</v>
      </c>
      <c r="B27" s="88">
        <f>+'PRIVADO COMPLETO'!O111</f>
        <v>56803340</v>
      </c>
      <c r="C27" s="88">
        <f>+'PRIVADO COMPLETO'!B111</f>
        <v>51578240</v>
      </c>
      <c r="D27" s="324">
        <f t="shared" si="7"/>
        <v>5225100</v>
      </c>
      <c r="E27" s="325">
        <f t="shared" si="5"/>
        <v>0.1013043485004529</v>
      </c>
    </row>
    <row r="28" spans="1:5" ht="15">
      <c r="A28" s="87" t="s">
        <v>53</v>
      </c>
      <c r="B28" s="88">
        <f>+'PRIVADO COMPLETO'!O160</f>
        <v>7255000</v>
      </c>
      <c r="C28" s="88">
        <f>+'PRIVADO COMPLETO'!B160</f>
        <v>14423394</v>
      </c>
      <c r="D28" s="324">
        <f t="shared" si="7"/>
        <v>-7168394</v>
      </c>
      <c r="E28" s="325">
        <f t="shared" si="5"/>
        <v>-0.4969977246686875</v>
      </c>
    </row>
    <row r="29" spans="1:5" ht="15">
      <c r="A29" s="87" t="s">
        <v>61</v>
      </c>
      <c r="B29" s="88">
        <f>+'PRIVADO COMPLETO'!O172</f>
        <v>13915000</v>
      </c>
      <c r="C29" s="88">
        <f>+'PRIVADO COMPLETO'!B172</f>
        <v>14802000</v>
      </c>
      <c r="D29" s="324">
        <f t="shared" si="7"/>
        <v>-887000</v>
      </c>
      <c r="E29" s="325">
        <f t="shared" si="5"/>
        <v>-0.05992433454938522</v>
      </c>
    </row>
    <row r="30" spans="1:5" ht="15">
      <c r="A30" s="87" t="s">
        <v>62</v>
      </c>
      <c r="B30" s="88">
        <f>+'PRIVADO COMPLETO'!O184</f>
        <v>109224000</v>
      </c>
      <c r="C30" s="88">
        <f>+'PRIVADO COMPLETO'!B184</f>
        <v>103180000</v>
      </c>
      <c r="D30" s="324">
        <f t="shared" si="7"/>
        <v>6044000</v>
      </c>
      <c r="E30" s="325">
        <f t="shared" si="5"/>
        <v>0.05857724365187052</v>
      </c>
    </row>
    <row r="31" spans="1:5" ht="15">
      <c r="A31" s="87" t="s">
        <v>71</v>
      </c>
      <c r="B31" s="88">
        <f>+'PRIVADO COMPLETO'!O188</f>
        <v>0</v>
      </c>
      <c r="C31" s="88">
        <f>+'PRIVADO COMPLETO'!B188</f>
        <v>0</v>
      </c>
      <c r="D31" s="324">
        <f t="shared" si="7"/>
        <v>0</v>
      </c>
      <c r="E31" s="325">
        <v>0</v>
      </c>
    </row>
    <row r="32" spans="1:5" ht="15">
      <c r="A32" s="87" t="s">
        <v>75</v>
      </c>
      <c r="B32" s="88">
        <f>+'PRIVADO COMPLETO'!O191</f>
        <v>43684000</v>
      </c>
      <c r="C32" s="88">
        <f>+'PRIVADO COMPLETO'!B191</f>
        <v>39166026</v>
      </c>
      <c r="D32" s="324">
        <f t="shared" si="7"/>
        <v>4517974</v>
      </c>
      <c r="E32" s="325">
        <f t="shared" si="5"/>
        <v>0.11535441456327482</v>
      </c>
    </row>
    <row r="33" spans="1:5" ht="10.5" customHeight="1">
      <c r="A33" s="114"/>
      <c r="B33" s="115"/>
      <c r="E33" s="102"/>
    </row>
    <row r="34" spans="1:5" s="101" customFormat="1" ht="15">
      <c r="A34" s="322" t="s">
        <v>91</v>
      </c>
      <c r="B34" s="109">
        <f>+B35</f>
        <v>25500380.27</v>
      </c>
      <c r="C34" s="109">
        <f aca="true" t="shared" si="8" ref="C34:D34">+C35</f>
        <v>38218202</v>
      </c>
      <c r="D34" s="109">
        <f t="shared" si="8"/>
        <v>-12717821.73</v>
      </c>
      <c r="E34" s="323">
        <f t="shared" si="5"/>
        <v>-0.3327687087424992</v>
      </c>
    </row>
    <row r="35" spans="1:5" ht="15">
      <c r="A35" s="87" t="s">
        <v>92</v>
      </c>
      <c r="B35" s="88">
        <f>+'PRIVADO COMPLETO'!O230</f>
        <v>25500380.27</v>
      </c>
      <c r="C35" s="88">
        <f>+'PRIVADO COMPLETO'!B230</f>
        <v>38218202</v>
      </c>
      <c r="D35" s="324">
        <f aca="true" t="shared" si="9" ref="D35">+B35-C35</f>
        <v>-12717821.73</v>
      </c>
      <c r="E35" s="325">
        <f t="shared" si="5"/>
        <v>-0.3327687087424992</v>
      </c>
    </row>
    <row r="36" spans="1:5" s="116" customFormat="1" ht="15">
      <c r="A36" s="116" t="s">
        <v>96</v>
      </c>
      <c r="B36" s="117"/>
      <c r="E36" s="102"/>
    </row>
    <row r="37" spans="1:5" s="101" customFormat="1" ht="15">
      <c r="A37" s="331" t="s">
        <v>169</v>
      </c>
      <c r="B37" s="332">
        <f>+B5-B19</f>
        <v>13804389.540978372</v>
      </c>
      <c r="C37" s="332">
        <f>+C5-C19</f>
        <v>2424909.6820737123</v>
      </c>
      <c r="D37" s="332">
        <f>+D5-D19</f>
        <v>11379479.858904548</v>
      </c>
      <c r="E37" s="326">
        <f>+(B37-C37)/C37</f>
        <v>4.692743792904179</v>
      </c>
    </row>
    <row r="38" ht="15">
      <c r="E38" s="102"/>
    </row>
  </sheetData>
  <printOptions/>
  <pageMargins left="0.7" right="0.7" top="0.75" bottom="0.75" header="0.3" footer="0.3"/>
  <pageSetup horizontalDpi="600" verticalDpi="600" orientation="portrait" r:id="rId1"/>
  <ignoredErrors>
    <ignoredError sqref="B37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B2:J28"/>
  <sheetViews>
    <sheetView showGridLines="0" workbookViewId="0" topLeftCell="A1">
      <selection activeCell="E21" sqref="E21"/>
    </sheetView>
  </sheetViews>
  <sheetFormatPr defaultColWidth="11.421875" defaultRowHeight="15"/>
  <cols>
    <col min="1" max="1" width="5.421875" style="85" customWidth="1"/>
    <col min="2" max="2" width="23.28125" style="85" customWidth="1"/>
    <col min="3" max="3" width="16.57421875" style="85" customWidth="1"/>
    <col min="4" max="4" width="16.28125" style="85" customWidth="1"/>
    <col min="5" max="5" width="15.28125" style="85" customWidth="1"/>
    <col min="6" max="6" width="8.57421875" style="85" customWidth="1"/>
    <col min="7" max="7" width="11.421875" style="85" customWidth="1"/>
    <col min="8" max="8" width="20.421875" style="85" customWidth="1"/>
    <col min="9" max="9" width="15.421875" style="85" bestFit="1" customWidth="1"/>
    <col min="10" max="10" width="15.421875" style="85" customWidth="1"/>
    <col min="11" max="16384" width="11.421875" style="85" customWidth="1"/>
  </cols>
  <sheetData>
    <row r="2" spans="2:8" ht="15">
      <c r="B2" s="101" t="s">
        <v>679</v>
      </c>
      <c r="G2" s="334">
        <v>0.07</v>
      </c>
      <c r="H2" s="85">
        <f>+C6*G2</f>
        <v>171559159.13182953</v>
      </c>
    </row>
    <row r="3" ht="15">
      <c r="H3" s="140">
        <f>+E6-H2</f>
        <v>252012169.32287762</v>
      </c>
    </row>
    <row r="4" spans="2:6" ht="13.5">
      <c r="B4" s="116"/>
      <c r="C4" s="132" t="s">
        <v>677</v>
      </c>
      <c r="D4" s="132" t="s">
        <v>577</v>
      </c>
      <c r="E4" s="132" t="s">
        <v>331</v>
      </c>
      <c r="F4" s="132" t="s">
        <v>332</v>
      </c>
    </row>
    <row r="5" spans="2:10" ht="13.5">
      <c r="B5" s="116" t="s">
        <v>325</v>
      </c>
      <c r="C5" s="117">
        <f>+'RESUMIDO PUBLICO COMPARADO'!B5</f>
        <v>2483883045.4707365</v>
      </c>
      <c r="D5" s="117">
        <f>+'RESUMIDO PUBLICO COMPARADO'!C5</f>
        <v>2248372280.6141663</v>
      </c>
      <c r="E5" s="133">
        <f>+C5-D5</f>
        <v>235510764.85657024</v>
      </c>
      <c r="F5" s="134">
        <f>+(C5-D5)/D5</f>
        <v>0.10474722842261604</v>
      </c>
      <c r="H5" s="85" t="s">
        <v>357</v>
      </c>
      <c r="I5" s="140">
        <f>+C5</f>
        <v>2483883045.4707365</v>
      </c>
      <c r="J5" s="173">
        <f>+I5/I7</f>
        <v>0.8623093798554701</v>
      </c>
    </row>
    <row r="6" spans="2:10" ht="13.5">
      <c r="B6" s="116" t="s">
        <v>326</v>
      </c>
      <c r="C6" s="117">
        <f>+'RESUMIDO PUBLICO COMPARADO'!B23</f>
        <v>2450845130.454707</v>
      </c>
      <c r="D6" s="117">
        <f>+'RESUMIDO PUBLICO COMPARADO'!C23</f>
        <v>2027273802</v>
      </c>
      <c r="E6" s="133">
        <f>+C6-D6</f>
        <v>423571328.45470715</v>
      </c>
      <c r="F6" s="134">
        <f aca="true" t="shared" si="0" ref="F6:F13">+(C6-D6)/D6</f>
        <v>0.20893641896661136</v>
      </c>
      <c r="H6" s="85" t="s">
        <v>358</v>
      </c>
      <c r="I6" s="140">
        <f>+C9</f>
        <v>396617971.33028114</v>
      </c>
      <c r="J6" s="173">
        <f>+I6/I7</f>
        <v>0.13769062014452993</v>
      </c>
    </row>
    <row r="7" spans="2:9" ht="13.5">
      <c r="B7" s="135" t="s">
        <v>327</v>
      </c>
      <c r="C7" s="136">
        <f>+C5-C6</f>
        <v>33037915.016029358</v>
      </c>
      <c r="D7" s="136">
        <f aca="true" t="shared" si="1" ref="D7:E7">+D5-D6</f>
        <v>221098478.61416626</v>
      </c>
      <c r="E7" s="136">
        <f t="shared" si="1"/>
        <v>-188060563.5981369</v>
      </c>
      <c r="F7" s="137">
        <f t="shared" si="0"/>
        <v>-0.8505737568928141</v>
      </c>
      <c r="I7" s="140">
        <f>SUM(I5:I6)</f>
        <v>2880501016.8010178</v>
      </c>
    </row>
    <row r="8" spans="2:6" ht="8.25" customHeight="1">
      <c r="B8" s="116"/>
      <c r="C8" s="117"/>
      <c r="D8" s="116"/>
      <c r="E8" s="116"/>
      <c r="F8" s="134"/>
    </row>
    <row r="9" spans="2:6" ht="13.5">
      <c r="B9" s="116" t="s">
        <v>328</v>
      </c>
      <c r="C9" s="117">
        <f>+'RESUMIDO PRIVADO COMPARADO'!B5</f>
        <v>396617971.33028114</v>
      </c>
      <c r="D9" s="117">
        <f>+'RESUMIDO PRIVADO COMPARADO'!C5</f>
        <v>367038234.4820737</v>
      </c>
      <c r="E9" s="133">
        <f>+C9-D9</f>
        <v>29579736.848207414</v>
      </c>
      <c r="F9" s="134">
        <f t="shared" si="0"/>
        <v>0.0805903420114999</v>
      </c>
    </row>
    <row r="10" spans="2:6" ht="13.5">
      <c r="B10" s="116" t="s">
        <v>470</v>
      </c>
      <c r="C10" s="117">
        <v>349867601</v>
      </c>
      <c r="D10" s="117">
        <f>+'RESUMIDO PRIVADO COMPARADO'!C19</f>
        <v>364613324.8</v>
      </c>
      <c r="E10" s="133">
        <f>+C10-D10</f>
        <v>-14745723.800000012</v>
      </c>
      <c r="F10" s="134">
        <f t="shared" si="0"/>
        <v>-0.040442086991989194</v>
      </c>
    </row>
    <row r="11" spans="2:6" ht="13.5">
      <c r="B11" s="135" t="s">
        <v>330</v>
      </c>
      <c r="C11" s="136">
        <f>+C9-C10</f>
        <v>46750370.33028114</v>
      </c>
      <c r="D11" s="136">
        <f aca="true" t="shared" si="2" ref="D11:E11">+D9-D10</f>
        <v>2424909.6820737123</v>
      </c>
      <c r="E11" s="136">
        <f t="shared" si="2"/>
        <v>44325460.648207426</v>
      </c>
      <c r="F11" s="137">
        <f t="shared" si="0"/>
        <v>18.27922127404827</v>
      </c>
    </row>
    <row r="12" spans="2:6" ht="8.25" customHeight="1">
      <c r="B12" s="116"/>
      <c r="C12" s="117"/>
      <c r="D12" s="116"/>
      <c r="E12" s="116"/>
      <c r="F12" s="134"/>
    </row>
    <row r="13" spans="2:10" ht="13.5">
      <c r="B13" s="135" t="s">
        <v>333</v>
      </c>
      <c r="C13" s="136">
        <f>+C7+C11</f>
        <v>79788285.3463105</v>
      </c>
      <c r="D13" s="136">
        <f aca="true" t="shared" si="3" ref="D13:E13">+D7+D11</f>
        <v>223523388.29623997</v>
      </c>
      <c r="E13" s="136">
        <f t="shared" si="3"/>
        <v>-143735102.94992948</v>
      </c>
      <c r="F13" s="137">
        <f t="shared" si="0"/>
        <v>-0.6430427887010843</v>
      </c>
      <c r="H13" s="85" t="s">
        <v>466</v>
      </c>
      <c r="I13" s="140">
        <f>+C6</f>
        <v>2450845130.454707</v>
      </c>
      <c r="J13" s="173">
        <f>+I13/I15</f>
        <v>0.8750790835951687</v>
      </c>
    </row>
    <row r="14" spans="2:10" ht="13.5">
      <c r="B14" s="116"/>
      <c r="C14" s="116"/>
      <c r="D14" s="116"/>
      <c r="E14" s="116"/>
      <c r="F14" s="116"/>
      <c r="H14" s="85" t="s">
        <v>467</v>
      </c>
      <c r="I14" s="140">
        <f>+C10</f>
        <v>349867601</v>
      </c>
      <c r="J14" s="173">
        <f>+I14/I15</f>
        <v>0.12492091640483123</v>
      </c>
    </row>
    <row r="15" spans="2:9" ht="13.5">
      <c r="B15" s="116"/>
      <c r="C15" s="116"/>
      <c r="D15" s="116"/>
      <c r="E15" s="116"/>
      <c r="F15" s="116"/>
      <c r="I15" s="140">
        <f>SUM(I13:I14)</f>
        <v>2800712731.454707</v>
      </c>
    </row>
    <row r="16" spans="2:4" ht="13.5">
      <c r="B16" s="85" t="s">
        <v>356</v>
      </c>
      <c r="C16" s="138">
        <v>2017</v>
      </c>
      <c r="D16" s="138">
        <v>2016</v>
      </c>
    </row>
    <row r="17" spans="3:4" ht="13.5">
      <c r="C17" s="139">
        <f>+C5+C9</f>
        <v>2880501016.8010178</v>
      </c>
      <c r="D17" s="139">
        <f>+D5+D9</f>
        <v>2615410515.09624</v>
      </c>
    </row>
    <row r="18" spans="2:4" ht="13.5">
      <c r="B18" s="85" t="s">
        <v>354</v>
      </c>
      <c r="C18" s="174">
        <f>+C5/C17</f>
        <v>0.8623093798554701</v>
      </c>
      <c r="D18" s="174">
        <f>+D5/D17</f>
        <v>0.8596632412527531</v>
      </c>
    </row>
    <row r="19" spans="2:4" ht="13.5">
      <c r="B19" s="85" t="s">
        <v>355</v>
      </c>
      <c r="C19" s="174">
        <f>+C9/C17</f>
        <v>0.13769062014452993</v>
      </c>
      <c r="D19" s="174">
        <f>+D9/D17</f>
        <v>0.14033675874724688</v>
      </c>
    </row>
    <row r="20" ht="13.5"/>
    <row r="22" ht="15">
      <c r="B22" s="101" t="s">
        <v>679</v>
      </c>
    </row>
    <row r="24" spans="2:6" ht="15">
      <c r="B24" s="116"/>
      <c r="C24" s="132" t="s">
        <v>677</v>
      </c>
      <c r="D24" s="132" t="s">
        <v>577</v>
      </c>
      <c r="E24" s="132" t="s">
        <v>331</v>
      </c>
      <c r="F24" s="132" t="s">
        <v>332</v>
      </c>
    </row>
    <row r="25" spans="2:6" ht="15">
      <c r="B25" s="116" t="s">
        <v>742</v>
      </c>
      <c r="C25" s="117">
        <f>+C5+C9</f>
        <v>2880501016.8010178</v>
      </c>
      <c r="D25" s="117">
        <f>+D5+D9</f>
        <v>2615410515.09624</v>
      </c>
      <c r="E25" s="133">
        <f>+C25-D25</f>
        <v>265090501.70477772</v>
      </c>
      <c r="F25" s="134">
        <f>+(C25-D25)/D25</f>
        <v>0.10135712928225461</v>
      </c>
    </row>
    <row r="26" spans="2:6" ht="15">
      <c r="B26" s="116" t="s">
        <v>743</v>
      </c>
      <c r="C26" s="117">
        <f>+C6+C10</f>
        <v>2800712731.454707</v>
      </c>
      <c r="D26" s="117">
        <f>+D6+D10</f>
        <v>2391887126.8</v>
      </c>
      <c r="E26" s="133">
        <f>+C26-D26</f>
        <v>408825604.65470695</v>
      </c>
      <c r="F26" s="134">
        <f aca="true" t="shared" si="4" ref="F26:F27">+(C26-D26)/D26</f>
        <v>0.17092177974203016</v>
      </c>
    </row>
    <row r="27" spans="2:6" ht="15">
      <c r="B27" s="135" t="s">
        <v>744</v>
      </c>
      <c r="C27" s="136">
        <f>+C25-C26</f>
        <v>79788285.34631062</v>
      </c>
      <c r="D27" s="136">
        <f aca="true" t="shared" si="5" ref="D27:E27">+D25-D26</f>
        <v>223523388.29623985</v>
      </c>
      <c r="E27" s="136">
        <f t="shared" si="5"/>
        <v>-143735102.94992924</v>
      </c>
      <c r="F27" s="137">
        <f t="shared" si="4"/>
        <v>-0.6430427887010837</v>
      </c>
    </row>
    <row r="28" spans="2:6" ht="15">
      <c r="B28" s="116"/>
      <c r="C28" s="117"/>
      <c r="D28" s="116"/>
      <c r="E28" s="116"/>
      <c r="F28" s="134"/>
    </row>
  </sheetData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contable</dc:creator>
  <cp:keywords/>
  <dc:description/>
  <cp:lastModifiedBy>SSQ</cp:lastModifiedBy>
  <cp:lastPrinted>2016-12-19T14:09:49Z</cp:lastPrinted>
  <dcterms:created xsi:type="dcterms:W3CDTF">2010-11-23T21:45:11Z</dcterms:created>
  <dcterms:modified xsi:type="dcterms:W3CDTF">2022-09-15T15:28:32Z</dcterms:modified>
  <cp:category/>
  <cp:version/>
  <cp:contentType/>
  <cp:contentStatus/>
</cp:coreProperties>
</file>